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 Power Trad" sheetId="1" state="visible" r:id="rId3"/>
    <sheet name="Midwest Power Trading" sheetId="2" state="visible" r:id="rId4"/>
    <sheet name="Northeast Power Trading" sheetId="3" state="visible" r:id="rId5"/>
    <sheet name="Southeast Power Trading" sheetId="4" state="visible" r:id="rId6"/>
    <sheet name="Ercot Trading" sheetId="5" state="visible" r:id="rId7"/>
    <sheet name="Options" sheetId="6" state="visible" r:id="rId8"/>
    <sheet name="Services Desk" sheetId="7" state="visible" r:id="rId9"/>
    <sheet name="Fundamentals" sheetId="8" state="visible" r:id="rId10"/>
    <sheet name="Genco Control Area" sheetId="9" state="visible" r:id="rId11"/>
    <sheet name="Management Book" sheetId="10" state="visible" r:id="rId12"/>
    <sheet name="TAC" sheetId="11" state="visible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function="false" hidden="false" localSheetId="0" name="_xlnm.Print_Titles" vbProcedure="false">'Consolidated Power Trad'!$B:$B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<sst xmlns="http://schemas.openxmlformats.org/spreadsheetml/2006/main" count="730" uniqueCount="82">
  <si>
    <t xml:space="preserve">Enron North America</t>
  </si>
  <si>
    <t xml:space="preserve">East Power Trading</t>
  </si>
  <si>
    <t xml:space="preserve">Expense Analysis</t>
  </si>
  <si>
    <t xml:space="preserve">2002 Plan</t>
  </si>
  <si>
    <t xml:space="preserve">Total East Power Trading</t>
  </si>
  <si>
    <t xml:space="preserve">Midwest Trading</t>
  </si>
  <si>
    <t xml:space="preserve">Northeast Trading</t>
  </si>
  <si>
    <t xml:space="preserve">Southeast Trading</t>
  </si>
  <si>
    <t xml:space="preserve">Ercot Trading</t>
  </si>
  <si>
    <t xml:space="preserve">Options</t>
  </si>
  <si>
    <t xml:space="preserve">Services Desk</t>
  </si>
  <si>
    <t xml:space="preserve">Fundamentals</t>
  </si>
  <si>
    <t xml:space="preserve">Genco Controls</t>
  </si>
  <si>
    <t xml:space="preserve">New Albany</t>
  </si>
  <si>
    <t xml:space="preserve">EES Trading</t>
  </si>
  <si>
    <t xml:space="preserve">Management Book</t>
  </si>
  <si>
    <t xml:space="preserve">Management Book-TAC</t>
  </si>
  <si>
    <t xml:space="preserve">Plan</t>
  </si>
  <si>
    <t xml:space="preserve">Forecast</t>
  </si>
  <si>
    <t xml:space="preserve">Compensation/Taxes and Benefits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</si>
  <si>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</si>
  <si>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</si>
  <si>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</si>
  <si>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</si>
  <si>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ENAOUTLG</t>
  </si>
  <si>
    <t xml:space="preserve">Consulting</t>
  </si>
  <si>
    <t xml:space="preserve">ENAOUTTX</t>
  </si>
  <si>
    <t xml:space="preserve">Office</t>
  </si>
  <si>
    <t xml:space="preserve">ENAINSUR</t>
  </si>
  <si>
    <t xml:space="preserve">Controllable Infrastructure</t>
  </si>
  <si>
    <t xml:space="preserve">ENAOUTSV</t>
  </si>
  <si>
    <t xml:space="preserve">System Development</t>
  </si>
  <si>
    <t xml:space="preserve">ENASUPP</t>
  </si>
  <si>
    <t xml:space="preserve">Insurance</t>
  </si>
  <si>
    <t xml:space="preserve">ENAMKTEX</t>
  </si>
  <si>
    <t xml:space="preserve">Analyst Associates(Inc. Comp, Taxes &amp; other)</t>
  </si>
  <si>
    <t xml:space="preserve">ENARENT</t>
  </si>
  <si>
    <t xml:space="preserve">Other Expenses</t>
  </si>
  <si>
    <t xml:space="preserve">ENATECH</t>
  </si>
  <si>
    <t xml:space="preserve">Outside Legal</t>
  </si>
  <si>
    <t xml:space="preserve">ENATRANS</t>
  </si>
  <si>
    <t xml:space="preserve">Outside Tax</t>
  </si>
  <si>
    <t xml:space="preserve">ENASYSDV</t>
  </si>
  <si>
    <t xml:space="preserve">Depreciation &amp; Amortization</t>
  </si>
  <si>
    <t xml:space="preserve">ENATOTDR</t>
  </si>
  <si>
    <t xml:space="preserve">Total Direct Expenses</t>
  </si>
  <si>
    <t xml:space="preserve">Headcount:</t>
  </si>
  <si>
    <t xml:space="preserve">Executive</t>
  </si>
  <si>
    <t xml:space="preserve">Director</t>
  </si>
  <si>
    <t xml:space="preserve">Manager</t>
  </si>
  <si>
    <t xml:space="preserve">Analyst &amp; Associate</t>
  </si>
  <si>
    <t xml:space="preserve">Support</t>
  </si>
  <si>
    <t xml:space="preserve">Total</t>
  </si>
  <si>
    <t xml:space="preserve">Income Statement - ($000s)</t>
  </si>
  <si>
    <t xml:space="preserve">2001 Forecast</t>
  </si>
  <si>
    <t xml:space="preserve">Variance</t>
  </si>
  <si>
    <t xml:space="preserve">Originations</t>
  </si>
  <si>
    <t xml:space="preserve">$</t>
  </si>
  <si>
    <t xml:space="preserve">Trading</t>
  </si>
  <si>
    <t xml:space="preserve">FV-Investments</t>
  </si>
  <si>
    <t xml:space="preserve">Accrual</t>
  </si>
  <si>
    <t xml:space="preserve">Operating Expenses</t>
  </si>
  <si>
    <t xml:space="preserve">Other</t>
  </si>
  <si>
    <t xml:space="preserve">Total Margin</t>
  </si>
  <si>
    <t xml:space="preserve">Capital Charge</t>
  </si>
  <si>
    <t xml:space="preserve">Total Margin Net of Capital Charge</t>
  </si>
  <si>
    <t xml:space="preserve">Travel/Entertainment</t>
  </si>
  <si>
    <r>
      <rPr>
        <sz val="10"/>
        <rFont val="Arial"/>
        <family val="2"/>
      </rPr>
      <t xml:space="preserve">Analyst Associates </t>
    </r>
    <r>
      <rPr>
        <sz val="7"/>
        <rFont val="Arial"/>
        <family val="2"/>
      </rPr>
      <t xml:space="preserve">(includes Comp, Taxes &amp; Benefits and Allocation)</t>
    </r>
  </si>
  <si>
    <t xml:space="preserve">Other Expense</t>
  </si>
  <si>
    <t xml:space="preserve">Other Allocated Expenses</t>
  </si>
  <si>
    <t xml:space="preserve">Pre-Tax Income</t>
  </si>
  <si>
    <t xml:space="preserve">Headcount</t>
  </si>
  <si>
    <t xml:space="preserve">Director </t>
  </si>
  <si>
    <t xml:space="preserve">Analyst and Associates</t>
  </si>
  <si>
    <t xml:space="preserve">Support Departments</t>
  </si>
  <si>
    <t xml:space="preserve">Total Headcount</t>
  </si>
  <si>
    <t xml:space="preserve">2002 Plan (in thousands)</t>
  </si>
  <si>
    <t xml:space="preserve">Team</t>
  </si>
  <si>
    <t xml:space="preserve">ENA Total</t>
  </si>
  <si>
    <t xml:space="preserve">Direct Expense Headcount Ratio</t>
  </si>
  <si>
    <t xml:space="preserve">Productivity Ratio</t>
  </si>
  <si>
    <t xml:space="preserve">ROCE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</si>
</sst>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@"/>
    <numFmt numFmtId="167" formatCode="_(* #,##0.00_);_(* \(#,##0.00\);_(* \-??_);_(@_)"/>
    <numFmt numFmtId="168" formatCode="_(* #,##0_);_(* \(#,##0\);_(* \-??_);_(@_)"/>
    <numFmt numFmtId="169" formatCode="_(* #,##0_);_(* \(#,##0\);_(* \-_);_(@_)"/>
    <numFmt numFmtId="170" formatCode="_(\$* #,##0_);_(\$* \(#,##0\);_(\$* \-_);_(@_)"/>
    <numFmt numFmtId="171" formatCode="0_);\(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2"/>
      <name val="Arial"/>
      <family val="0"/>
    </font>
    <font>
      <b val="true"/>
      <sz val="12"/>
      <name val="Arial Narrow"/>
      <family val="2"/>
    </font>
    <font>
      <b val="true"/>
      <sz val="10"/>
      <name val="Arial"/>
      <family val="0"/>
    </font>
    <font>
      <b val="true"/>
      <sz val="10"/>
      <name val="Arial Narrow"/>
      <family val="2"/>
    </font>
    <font>
      <sz val="11"/>
      <name val="Arial"/>
      <family val="0"/>
    </font>
    <font>
      <b val="true"/>
      <sz val="11"/>
      <name val="Arial Narrow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externalLink" Target="externalLinks/externalLink4.xml"/><Relationship Id="rId18" Type="http://schemas.openxmlformats.org/officeDocument/2006/relationships/externalLink" Target="externalLinks/externalLink5.xml"/><Relationship Id="rId19" Type="http://schemas.openxmlformats.org/officeDocument/2006/relationships/externalLink" Target="externalLinks/externalLink6.xml"/><Relationship Id="rId20" Type="http://schemas.openxmlformats.org/officeDocument/2006/relationships/externalLink" Target="externalLinks/externalLink7.xml"/><Relationship Id="rId21" Type="http://schemas.openxmlformats.org/officeDocument/2006/relationships/externalLink" Target="externalLinks/externalLink8.xml"/><Relationship Id="rId22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0.xml"/><Relationship Id="rId2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2%20Management%20Book%20Plan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2002%20Genco%20Control%20%20Plan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2%20TAC%20Plan%20Repor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Plan_IncomeSheets_Dura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2002%20Midwest%20Trading%20Plan%20Report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2002%20Northeast%20Trading%20Plan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2002%20Ercot%20Trading%20Plan%20Report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2002%20Options%20Plan%20Report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2002%20Services%20Plan%20Report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2002%20Fundamentals%20Plan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Notes"/>
      <sheetName val="Headcount"/>
      <sheetName val="Assumptions"/>
      <sheetName val="Data"/>
      <sheetName val="Upload"/>
      <sheetName val="Plan Sheet"/>
      <sheetName val="Team Report"/>
      <sheetName val="YTD Sum"/>
      <sheetName val="YTD 12 Month Rolling"/>
      <sheetName val="Variance"/>
      <sheetName val="sapactivexlhiddensheet"/>
    </sheetNames>
    <sheetDataSet>
      <sheetData sheetId="0"/>
      <sheetData sheetId="1"/>
      <sheetData sheetId="2"/>
      <sheetData sheetId="3"/>
      <sheetData sheetId="4">
        <row r="31">
          <cell r="P31">
            <v>940699.5</v>
          </cell>
        </row>
        <row r="34">
          <cell r="P34">
            <v>152126.29725</v>
          </cell>
        </row>
        <row r="43">
          <cell r="P43">
            <v>318852</v>
          </cell>
        </row>
        <row r="50">
          <cell r="P50">
            <v>368004</v>
          </cell>
        </row>
        <row r="53">
          <cell r="P53">
            <v>104004</v>
          </cell>
        </row>
        <row r="62">
          <cell r="P62">
            <v>265000</v>
          </cell>
        </row>
        <row r="66">
          <cell r="P66">
            <v>192000</v>
          </cell>
        </row>
        <row r="69">
          <cell r="P69">
            <v>0</v>
          </cell>
        </row>
        <row r="70">
          <cell r="P70">
            <v>0</v>
          </cell>
        </row>
        <row r="73">
          <cell r="P73">
            <v>264000</v>
          </cell>
        </row>
        <row r="74">
          <cell r="P74">
            <v>144000</v>
          </cell>
        </row>
        <row r="75">
          <cell r="P75">
            <v>97512</v>
          </cell>
        </row>
        <row r="78">
          <cell r="P78">
            <v>120000</v>
          </cell>
        </row>
        <row r="79">
          <cell r="P79">
            <v>7752000</v>
          </cell>
        </row>
        <row r="80">
          <cell r="P80">
            <v>1395996</v>
          </cell>
        </row>
        <row r="84">
          <cell r="P84">
            <v>766212</v>
          </cell>
        </row>
        <row r="86">
          <cell r="P86">
            <v>35940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EPSC"/>
      <sheetName val="Notes"/>
      <sheetName val="Headcount"/>
      <sheetName val="Assumptions"/>
      <sheetName val="Data"/>
      <sheetName val="Upload"/>
      <sheetName val="Plan Sheet"/>
      <sheetName val="Team Report"/>
      <sheetName val="YTD Sum"/>
      <sheetName val="YTD 12 Month Rolling"/>
      <sheetName val="Variance"/>
      <sheetName val="sapactivexlhiddensheet"/>
    </sheetNames>
    <sheetDataSet>
      <sheetData sheetId="0"/>
      <sheetData sheetId="1"/>
      <sheetData sheetId="2"/>
      <sheetData sheetId="3"/>
      <sheetData sheetId="4"/>
      <sheetData sheetId="5">
        <row r="31">
          <cell r="P31">
            <v>754283.75</v>
          </cell>
        </row>
        <row r="34">
          <cell r="P34">
            <v>150086.935625</v>
          </cell>
        </row>
        <row r="43">
          <cell r="P43">
            <v>94214</v>
          </cell>
        </row>
        <row r="50">
          <cell r="P50">
            <v>27996</v>
          </cell>
        </row>
        <row r="53">
          <cell r="P53">
            <v>0</v>
          </cell>
        </row>
        <row r="62">
          <cell r="P62">
            <v>0</v>
          </cell>
        </row>
        <row r="66">
          <cell r="P66">
            <v>17196</v>
          </cell>
        </row>
        <row r="73">
          <cell r="P73">
            <v>59124</v>
          </cell>
        </row>
        <row r="74">
          <cell r="P74">
            <v>313200</v>
          </cell>
        </row>
        <row r="78">
          <cell r="P78">
            <v>228000</v>
          </cell>
        </row>
        <row r="80">
          <cell r="P80">
            <v>0</v>
          </cell>
        </row>
        <row r="86">
          <cell r="P86">
            <v>818832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Notes"/>
      <sheetName val="Headcount"/>
      <sheetName val="Assumptions"/>
      <sheetName val="Data"/>
      <sheetName val="Upload"/>
      <sheetName val="Plan Sheet"/>
      <sheetName val="Team Report"/>
      <sheetName val="YTD Sum"/>
      <sheetName val="YTD 12 Month Rolling"/>
      <sheetName val="Variance"/>
      <sheetName val="sapactivexlhiddensheet"/>
    </sheetNames>
    <sheetDataSet>
      <sheetData sheetId="0"/>
      <sheetData sheetId="1"/>
      <sheetData sheetId="2"/>
      <sheetData sheetId="3"/>
      <sheetData sheetId="4">
        <row r="31">
          <cell r="P31">
            <v>1075380</v>
          </cell>
        </row>
        <row r="34">
          <cell r="P34">
            <v>219217.59</v>
          </cell>
        </row>
        <row r="43">
          <cell r="P43">
            <v>21600</v>
          </cell>
        </row>
        <row r="50">
          <cell r="P50">
            <v>340000</v>
          </cell>
        </row>
        <row r="62">
          <cell r="P62">
            <v>1130000</v>
          </cell>
        </row>
        <row r="66">
          <cell r="P66">
            <v>113800</v>
          </cell>
        </row>
        <row r="69">
          <cell r="P69">
            <v>204000</v>
          </cell>
        </row>
        <row r="70">
          <cell r="P70">
            <v>13200</v>
          </cell>
        </row>
        <row r="73">
          <cell r="P73">
            <v>12000</v>
          </cell>
        </row>
        <row r="75">
          <cell r="P75">
            <v>86496</v>
          </cell>
        </row>
        <row r="78">
          <cell r="P78">
            <v>100000</v>
          </cell>
        </row>
        <row r="83">
          <cell r="P83">
            <v>250000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Duran"/>
      <sheetName val="Midwest Power Origination"/>
      <sheetName val="Northeast Power Origination"/>
      <sheetName val="Southeast Power Origination"/>
      <sheetName val="Ercot Origination"/>
      <sheetName val="Generation Development"/>
      <sheetName val="Commodity Structuring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Notes"/>
      <sheetName val="EPSC"/>
      <sheetName val="Headcount"/>
      <sheetName val="Assumptions"/>
      <sheetName val="Data"/>
      <sheetName val="Upload"/>
      <sheetName val="Plan Sheet"/>
      <sheetName val="Team Report"/>
      <sheetName val="YTD Sum"/>
      <sheetName val="YTD 12 Month Rolling"/>
      <sheetName val="Variance"/>
      <sheetName val="sapactivexlhiddensheet"/>
    </sheetNames>
    <sheetDataSet>
      <sheetData sheetId="0"/>
      <sheetData sheetId="1"/>
      <sheetData sheetId="2"/>
      <sheetData sheetId="3"/>
      <sheetData sheetId="4"/>
      <sheetData sheetId="5">
        <row r="31">
          <cell r="P31">
            <v>1092311.75</v>
          </cell>
        </row>
        <row r="34">
          <cell r="P34">
            <v>203376.389625</v>
          </cell>
        </row>
        <row r="43">
          <cell r="P43">
            <v>166056</v>
          </cell>
        </row>
        <row r="50">
          <cell r="P50">
            <v>184016</v>
          </cell>
        </row>
        <row r="53">
          <cell r="P53">
            <v>5400</v>
          </cell>
        </row>
        <row r="62">
          <cell r="P62">
            <v>11052</v>
          </cell>
        </row>
        <row r="66">
          <cell r="P66">
            <v>9400</v>
          </cell>
        </row>
        <row r="71">
          <cell r="P71">
            <v>0</v>
          </cell>
        </row>
        <row r="73">
          <cell r="P73">
            <v>80604</v>
          </cell>
        </row>
        <row r="74">
          <cell r="P74">
            <v>561600</v>
          </cell>
        </row>
        <row r="78">
          <cell r="P78">
            <v>69060</v>
          </cell>
        </row>
        <row r="80">
          <cell r="P80">
            <v>33096</v>
          </cell>
        </row>
        <row r="85">
          <cell r="P85">
            <v>12000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Notes"/>
      <sheetName val="Epsc"/>
      <sheetName val="Headcount"/>
      <sheetName val="Assumptions"/>
      <sheetName val="Data"/>
      <sheetName val="Upload"/>
      <sheetName val="Plan Sheet"/>
      <sheetName val="Team Report"/>
      <sheetName val="YTD Sum"/>
      <sheetName val="YTD 12 Month Rolling"/>
      <sheetName val="Variance"/>
      <sheetName val="sapactivexlhiddensheet"/>
    </sheetNames>
    <sheetDataSet>
      <sheetData sheetId="0"/>
      <sheetData sheetId="1"/>
      <sheetData sheetId="2"/>
      <sheetData sheetId="3"/>
      <sheetData sheetId="4"/>
      <sheetData sheetId="5">
        <row r="31">
          <cell r="P31">
            <v>1425690.75</v>
          </cell>
        </row>
        <row r="34">
          <cell r="P34">
            <v>256175.374125</v>
          </cell>
        </row>
        <row r="43">
          <cell r="P43">
            <v>205876</v>
          </cell>
        </row>
        <row r="50">
          <cell r="P50">
            <v>273976</v>
          </cell>
        </row>
        <row r="53">
          <cell r="P53">
            <v>0</v>
          </cell>
        </row>
        <row r="62">
          <cell r="P62">
            <v>0</v>
          </cell>
        </row>
        <row r="66">
          <cell r="P66">
            <v>22896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3">
          <cell r="P73">
            <v>105384</v>
          </cell>
        </row>
        <row r="74">
          <cell r="P74">
            <v>1386000</v>
          </cell>
        </row>
        <row r="75">
          <cell r="P75">
            <v>197760</v>
          </cell>
        </row>
        <row r="78">
          <cell r="P78">
            <v>84300</v>
          </cell>
        </row>
        <row r="80">
          <cell r="P80">
            <v>90024</v>
          </cell>
        </row>
        <row r="85">
          <cell r="P8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Notes"/>
      <sheetName val="Epsc"/>
      <sheetName val="Headcount"/>
      <sheetName val="Assumptions"/>
      <sheetName val="Data"/>
      <sheetName val="Upload"/>
      <sheetName val="Plan Sheet"/>
      <sheetName val="Team Report"/>
      <sheetName val="YTD Sum"/>
      <sheetName val="YTD 12 Month Rolling"/>
      <sheetName val="Variance"/>
      <sheetName val="sapactivexlhiddensheet"/>
    </sheetNames>
    <sheetDataSet>
      <sheetData sheetId="0"/>
      <sheetData sheetId="1"/>
      <sheetData sheetId="2"/>
      <sheetData sheetId="3"/>
      <sheetData sheetId="4"/>
      <sheetData sheetId="5">
        <row r="31">
          <cell r="P31">
            <v>940228.75</v>
          </cell>
        </row>
        <row r="34">
          <cell r="P34">
            <v>178517.883125</v>
          </cell>
        </row>
        <row r="43">
          <cell r="P43">
            <v>57504</v>
          </cell>
        </row>
        <row r="50">
          <cell r="P50">
            <v>57000</v>
          </cell>
        </row>
        <row r="53">
          <cell r="P53">
            <v>0</v>
          </cell>
        </row>
        <row r="62">
          <cell r="P62">
            <v>500004</v>
          </cell>
        </row>
        <row r="66">
          <cell r="P66">
            <v>30996</v>
          </cell>
        </row>
        <row r="70">
          <cell r="P70">
            <v>0</v>
          </cell>
        </row>
        <row r="71">
          <cell r="P71">
            <v>0</v>
          </cell>
        </row>
        <row r="73">
          <cell r="P73">
            <v>82452</v>
          </cell>
        </row>
        <row r="74">
          <cell r="P74">
            <v>810000</v>
          </cell>
        </row>
        <row r="78">
          <cell r="P78">
            <v>150000</v>
          </cell>
        </row>
        <row r="79">
          <cell r="P79">
            <v>0</v>
          </cell>
        </row>
        <row r="80">
          <cell r="P80">
            <v>15888</v>
          </cell>
        </row>
        <row r="83">
          <cell r="P8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Notes"/>
      <sheetName val="Epsc"/>
      <sheetName val="Headcount"/>
      <sheetName val="Assumptions"/>
      <sheetName val="Data"/>
      <sheetName val="Upload"/>
      <sheetName val="Plan Sheet"/>
      <sheetName val="Team Report"/>
      <sheetName val="YTD Sum"/>
      <sheetName val="YTD 12 Month Rolling"/>
      <sheetName val="Variance"/>
      <sheetName val="sapactivexlhiddensheet"/>
    </sheetNames>
    <sheetDataSet>
      <sheetData sheetId="0"/>
      <sheetData sheetId="1"/>
      <sheetData sheetId="2"/>
      <sheetData sheetId="3"/>
      <sheetData sheetId="4"/>
      <sheetData sheetId="5">
        <row r="31">
          <cell r="P31">
            <v>696938.75</v>
          </cell>
        </row>
        <row r="34">
          <cell r="P34">
            <v>126409.538125</v>
          </cell>
        </row>
        <row r="43">
          <cell r="P43">
            <v>38500</v>
          </cell>
        </row>
        <row r="50">
          <cell r="P50">
            <v>82020</v>
          </cell>
        </row>
        <row r="62">
          <cell r="P62">
            <v>0</v>
          </cell>
        </row>
        <row r="66">
          <cell r="P66">
            <v>12204</v>
          </cell>
        </row>
        <row r="71">
          <cell r="P71">
            <v>0</v>
          </cell>
        </row>
        <row r="73">
          <cell r="P73">
            <v>45600</v>
          </cell>
        </row>
        <row r="74">
          <cell r="P74">
            <v>104400</v>
          </cell>
        </row>
        <row r="75">
          <cell r="P75">
            <v>0</v>
          </cell>
        </row>
        <row r="78">
          <cell r="P78">
            <v>18000</v>
          </cell>
        </row>
        <row r="79">
          <cell r="P79">
            <v>0</v>
          </cell>
        </row>
        <row r="80">
          <cell r="P80">
            <v>36000</v>
          </cell>
        </row>
        <row r="83">
          <cell r="P8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Notes"/>
      <sheetName val="Headcount"/>
      <sheetName val="Epsc"/>
      <sheetName val="Assumptions"/>
      <sheetName val="Data"/>
      <sheetName val="Upload"/>
      <sheetName val="Plan Sheet"/>
      <sheetName val="Team Report"/>
      <sheetName val="YTD Sum"/>
      <sheetName val="YTD 12 Month Rolling"/>
      <sheetName val="Variance"/>
      <sheetName val="sapactivexlhiddensheet"/>
    </sheetNames>
    <sheetDataSet>
      <sheetData sheetId="0"/>
      <sheetData sheetId="1"/>
      <sheetData sheetId="2"/>
      <sheetData sheetId="3"/>
      <sheetData sheetId="4"/>
      <sheetData sheetId="5">
        <row r="31">
          <cell r="P31">
            <v>792311</v>
          </cell>
        </row>
        <row r="34">
          <cell r="P34">
            <v>154098.8105</v>
          </cell>
        </row>
        <row r="43">
          <cell r="P43">
            <v>31750</v>
          </cell>
        </row>
        <row r="50">
          <cell r="P50">
            <v>419892</v>
          </cell>
        </row>
        <row r="62">
          <cell r="P62">
            <v>0</v>
          </cell>
        </row>
        <row r="66">
          <cell r="P66">
            <v>6900</v>
          </cell>
        </row>
        <row r="73">
          <cell r="P73">
            <v>61200</v>
          </cell>
        </row>
        <row r="74">
          <cell r="P74">
            <v>248400</v>
          </cell>
        </row>
        <row r="78">
          <cell r="P78">
            <v>24000</v>
          </cell>
        </row>
        <row r="80">
          <cell r="P80">
            <v>13200</v>
          </cell>
        </row>
        <row r="85">
          <cell r="P85">
            <v>6000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Notes"/>
      <sheetName val="EPSC"/>
      <sheetName val="Headcount"/>
      <sheetName val="Assumptions"/>
      <sheetName val="Data"/>
      <sheetName val="Upload"/>
      <sheetName val="Plan Sheet"/>
      <sheetName val="Team Report"/>
      <sheetName val="YTD Sum"/>
      <sheetName val="YTD 12 Month Rolling"/>
      <sheetName val="Variance"/>
      <sheetName val="sapactivexlhiddensheet"/>
    </sheetNames>
    <sheetDataSet>
      <sheetData sheetId="0"/>
      <sheetData sheetId="1"/>
      <sheetData sheetId="2"/>
      <sheetData sheetId="3"/>
      <sheetData sheetId="4"/>
      <sheetData sheetId="5">
        <row r="31">
          <cell r="P31">
            <v>856574.75</v>
          </cell>
        </row>
        <row r="34">
          <cell r="P34">
            <v>178127.996541667</v>
          </cell>
        </row>
        <row r="43">
          <cell r="P43">
            <v>180612</v>
          </cell>
        </row>
        <row r="50">
          <cell r="P50">
            <v>63996</v>
          </cell>
        </row>
        <row r="53">
          <cell r="P53">
            <v>0</v>
          </cell>
        </row>
        <row r="62">
          <cell r="P62">
            <v>1060008</v>
          </cell>
        </row>
        <row r="66">
          <cell r="P66">
            <v>31800</v>
          </cell>
        </row>
        <row r="73">
          <cell r="P73">
            <v>147888</v>
          </cell>
        </row>
        <row r="74">
          <cell r="P74">
            <v>1202400</v>
          </cell>
        </row>
        <row r="78">
          <cell r="P78">
            <v>600000</v>
          </cell>
        </row>
        <row r="80">
          <cell r="P80">
            <v>272856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true" outlineLevel="0" max="1" min="1" style="0" width="9.85"/>
    <col collapsed="false" customWidth="true" hidden="false" outlineLevel="0" max="2" min="2" style="0" width="32.41"/>
    <col collapsed="false" customWidth="true" hidden="false" outlineLevel="0" max="5" min="3" style="0" width="13.28"/>
    <col collapsed="false" customWidth="true" hidden="false" outlineLevel="0" max="6" min="6" style="0" width="2.28"/>
    <col collapsed="false" customWidth="true" hidden="false" outlineLevel="0" max="9" min="9" style="1" width="12.28"/>
    <col collapsed="false" customWidth="true" hidden="false" outlineLevel="0" max="10" min="10" style="0" width="2.28"/>
    <col collapsed="false" customWidth="true" hidden="false" outlineLevel="0" max="12" min="11" style="0" width="11.99"/>
    <col collapsed="false" customWidth="true" hidden="false" outlineLevel="0" max="14" min="14" style="0" width="2.28"/>
    <col collapsed="false" customWidth="true" hidden="false" outlineLevel="0" max="16" min="15" style="0" width="12.28"/>
    <col collapsed="false" customWidth="true" hidden="false" outlineLevel="0" max="17" min="17" style="0" width="11.85"/>
    <col collapsed="false" customWidth="true" hidden="false" outlineLevel="0" max="18" min="18" style="0" width="2.28"/>
    <col collapsed="false" customWidth="true" hidden="false" outlineLevel="0" max="19" min="19" style="0" width="12.28"/>
    <col collapsed="false" customWidth="true" hidden="false" outlineLevel="0" max="21" min="21" style="0" width="12.99"/>
    <col collapsed="false" customWidth="true" hidden="false" outlineLevel="0" max="22" min="22" style="0" width="2.28"/>
    <col collapsed="false" customWidth="true" hidden="false" outlineLevel="0" max="24" min="24" style="0" width="11.85"/>
    <col collapsed="false" customWidth="true" hidden="false" outlineLevel="0" max="25" min="25" style="0" width="12.28"/>
    <col collapsed="false" customWidth="true" hidden="false" outlineLevel="0" max="26" min="26" style="0" width="2.28"/>
    <col collapsed="false" customWidth="true" hidden="false" outlineLevel="0" max="27" min="27" style="0" width="12.28"/>
    <col collapsed="false" customWidth="true" hidden="false" outlineLevel="0" max="30" min="30" style="0" width="2.28"/>
    <col collapsed="false" customWidth="true" hidden="false" outlineLevel="0" max="34" min="34" style="0" width="2.56"/>
    <col collapsed="false" customWidth="true" hidden="false" outlineLevel="0" max="38" min="38" style="0" width="2.56"/>
    <col collapsed="false" customWidth="true" hidden="false" outlineLevel="0" max="42" min="42" style="0" width="2.56"/>
    <col collapsed="false" customWidth="false" hidden="true" outlineLevel="0" max="45" min="43" style="0" width="11.42"/>
    <col collapsed="false" customWidth="true" hidden="true" outlineLevel="0" max="46" min="46" style="0" width="2.56"/>
    <col collapsed="false" customWidth="true" hidden="false" outlineLevel="0" max="50" min="50" style="0" width="2.56"/>
  </cols>
  <sheetData>
    <row r="1" customFormat="false" ht="15.75" hidden="false" customHeight="false" outlineLevel="0" collapsed="false">
      <c r="A1" s="2"/>
      <c r="B1" s="3" t="s">
        <v>0</v>
      </c>
    </row>
    <row r="2" customFormat="false" ht="15.75" hidden="false" customHeight="false" outlineLevel="0" collapsed="false">
      <c r="A2" s="2"/>
      <c r="B2" s="3" t="s">
        <v>1</v>
      </c>
    </row>
    <row r="3" customFormat="false" ht="15.75" hidden="false" customHeight="false" outlineLevel="0" collapsed="false">
      <c r="A3" s="2"/>
      <c r="B3" s="4" t="s">
        <v>2</v>
      </c>
    </row>
    <row r="4" customFormat="false" ht="15.75" hidden="false" customHeight="false" outlineLevel="0" collapsed="false">
      <c r="A4" s="2"/>
      <c r="B4" s="3" t="s">
        <v>3</v>
      </c>
    </row>
    <row r="5" customFormat="false" ht="15.75" hidden="false" customHeight="false" outlineLevel="0" collapsed="false">
      <c r="A5" s="2"/>
      <c r="B5" s="3"/>
    </row>
    <row r="6" customFormat="false" ht="16.5" hidden="false" customHeight="false" outlineLevel="0" collapsed="false">
      <c r="A6" s="2"/>
      <c r="B6" s="3"/>
    </row>
    <row r="7" customFormat="false" ht="12.75" hidden="false" customHeight="false" outlineLevel="0" collapsed="false">
      <c r="B7" s="1"/>
      <c r="C7" s="5" t="s">
        <v>4</v>
      </c>
      <c r="D7" s="5"/>
      <c r="E7" s="5"/>
      <c r="G7" s="6" t="s">
        <v>5</v>
      </c>
      <c r="H7" s="6"/>
      <c r="I7" s="6"/>
      <c r="J7" s="1"/>
      <c r="K7" s="6" t="s">
        <v>6</v>
      </c>
      <c r="L7" s="6"/>
      <c r="M7" s="6"/>
      <c r="N7" s="1"/>
      <c r="O7" s="6" t="s">
        <v>7</v>
      </c>
      <c r="P7" s="6"/>
      <c r="Q7" s="6"/>
      <c r="R7" s="1"/>
      <c r="S7" s="6" t="s">
        <v>8</v>
      </c>
      <c r="T7" s="6"/>
      <c r="U7" s="6"/>
      <c r="V7" s="1"/>
      <c r="W7" s="6" t="s">
        <v>9</v>
      </c>
      <c r="X7" s="6"/>
      <c r="Y7" s="6"/>
      <c r="Z7" s="1"/>
      <c r="AA7" s="6" t="s">
        <v>10</v>
      </c>
      <c r="AB7" s="6"/>
      <c r="AC7" s="6"/>
      <c r="AD7" s="1"/>
      <c r="AE7" s="6" t="s">
        <v>11</v>
      </c>
      <c r="AF7" s="6"/>
      <c r="AG7" s="6"/>
      <c r="AI7" s="6" t="s">
        <v>12</v>
      </c>
      <c r="AJ7" s="6"/>
      <c r="AK7" s="6"/>
      <c r="AM7" s="6" t="s">
        <v>13</v>
      </c>
      <c r="AN7" s="6"/>
      <c r="AO7" s="6"/>
      <c r="AQ7" s="6" t="s">
        <v>14</v>
      </c>
      <c r="AR7" s="6"/>
      <c r="AS7" s="6"/>
      <c r="AU7" s="6" t="s">
        <v>15</v>
      </c>
      <c r="AV7" s="6"/>
      <c r="AW7" s="6"/>
      <c r="AY7" s="6" t="s">
        <v>16</v>
      </c>
      <c r="AZ7" s="6"/>
      <c r="BA7" s="6"/>
    </row>
    <row r="8" customFormat="false" ht="13.5" hidden="false" customHeight="false" outlineLevel="0" collapsed="false">
      <c r="C8" s="7" t="n">
        <v>2001</v>
      </c>
      <c r="D8" s="8" t="n">
        <v>2001</v>
      </c>
      <c r="E8" s="9" t="n">
        <v>2002</v>
      </c>
      <c r="F8" s="1"/>
      <c r="G8" s="8" t="n">
        <v>2001</v>
      </c>
      <c r="H8" s="8" t="n">
        <v>2001</v>
      </c>
      <c r="I8" s="8" t="n">
        <v>2002</v>
      </c>
      <c r="J8" s="10"/>
      <c r="K8" s="8" t="n">
        <v>2001</v>
      </c>
      <c r="L8" s="8" t="n">
        <v>2001</v>
      </c>
      <c r="M8" s="8" t="n">
        <v>2002</v>
      </c>
      <c r="N8" s="10"/>
      <c r="O8" s="8" t="n">
        <v>2001</v>
      </c>
      <c r="P8" s="8" t="n">
        <v>2001</v>
      </c>
      <c r="Q8" s="8" t="n">
        <v>2002</v>
      </c>
      <c r="R8" s="10"/>
      <c r="S8" s="8" t="n">
        <v>2001</v>
      </c>
      <c r="T8" s="8" t="n">
        <v>2001</v>
      </c>
      <c r="U8" s="8" t="n">
        <v>2002</v>
      </c>
      <c r="V8" s="10"/>
      <c r="W8" s="8" t="n">
        <v>2001</v>
      </c>
      <c r="X8" s="8" t="n">
        <v>2001</v>
      </c>
      <c r="Y8" s="8" t="n">
        <v>2002</v>
      </c>
      <c r="Z8" s="10"/>
      <c r="AA8" s="8" t="n">
        <v>2001</v>
      </c>
      <c r="AB8" s="8" t="n">
        <v>2001</v>
      </c>
      <c r="AC8" s="8" t="n">
        <v>2002</v>
      </c>
      <c r="AD8" s="10"/>
      <c r="AE8" s="8" t="n">
        <v>2001</v>
      </c>
      <c r="AF8" s="8" t="n">
        <v>2001</v>
      </c>
      <c r="AG8" s="8" t="n">
        <v>2002</v>
      </c>
      <c r="AH8" s="11"/>
      <c r="AI8" s="8" t="n">
        <v>2001</v>
      </c>
      <c r="AJ8" s="8" t="n">
        <v>2001</v>
      </c>
      <c r="AK8" s="8" t="n">
        <v>2002</v>
      </c>
      <c r="AL8" s="11"/>
      <c r="AM8" s="8" t="n">
        <v>2001</v>
      </c>
      <c r="AN8" s="8" t="n">
        <v>2001</v>
      </c>
      <c r="AO8" s="8" t="n">
        <v>2002</v>
      </c>
      <c r="AP8" s="11"/>
      <c r="AQ8" s="8" t="n">
        <v>2001</v>
      </c>
      <c r="AR8" s="8" t="n">
        <v>2001</v>
      </c>
      <c r="AS8" s="8" t="n">
        <v>2002</v>
      </c>
      <c r="AT8" s="11"/>
      <c r="AU8" s="8" t="n">
        <v>2001</v>
      </c>
      <c r="AV8" s="8" t="n">
        <v>2001</v>
      </c>
      <c r="AW8" s="8" t="n">
        <v>2002</v>
      </c>
      <c r="AX8" s="11"/>
      <c r="AY8" s="8" t="n">
        <v>2001</v>
      </c>
      <c r="AZ8" s="8" t="n">
        <v>2001</v>
      </c>
      <c r="BA8" s="8" t="n">
        <v>2002</v>
      </c>
      <c r="BB8" s="11"/>
      <c r="BC8" s="11"/>
      <c r="BD8" s="11"/>
      <c r="BE8" s="11"/>
      <c r="BF8" s="11"/>
      <c r="BG8" s="12"/>
      <c r="BH8" s="12"/>
    </row>
    <row r="9" customFormat="false" ht="13.5" hidden="false" customHeight="false" outlineLevel="0" collapsed="false">
      <c r="C9" s="7" t="s">
        <v>17</v>
      </c>
      <c r="D9" s="8" t="s">
        <v>18</v>
      </c>
      <c r="E9" s="9" t="s">
        <v>17</v>
      </c>
      <c r="F9" s="1"/>
      <c r="G9" s="8" t="s">
        <v>17</v>
      </c>
      <c r="H9" s="8" t="s">
        <v>18</v>
      </c>
      <c r="I9" s="8" t="s">
        <v>17</v>
      </c>
      <c r="J9" s="1"/>
      <c r="K9" s="8" t="s">
        <v>17</v>
      </c>
      <c r="L9" s="8" t="s">
        <v>18</v>
      </c>
      <c r="M9" s="8" t="s">
        <v>17</v>
      </c>
      <c r="N9" s="1"/>
      <c r="O9" s="8" t="s">
        <v>17</v>
      </c>
      <c r="P9" s="8" t="s">
        <v>18</v>
      </c>
      <c r="Q9" s="8" t="s">
        <v>17</v>
      </c>
      <c r="R9" s="1"/>
      <c r="S9" s="8" t="s">
        <v>17</v>
      </c>
      <c r="T9" s="8" t="s">
        <v>18</v>
      </c>
      <c r="U9" s="8" t="s">
        <v>17</v>
      </c>
      <c r="V9" s="1"/>
      <c r="W9" s="8" t="s">
        <v>17</v>
      </c>
      <c r="X9" s="8" t="s">
        <v>18</v>
      </c>
      <c r="Y9" s="8" t="s">
        <v>17</v>
      </c>
      <c r="Z9" s="1"/>
      <c r="AA9" s="8" t="s">
        <v>17</v>
      </c>
      <c r="AB9" s="8" t="s">
        <v>18</v>
      </c>
      <c r="AC9" s="8" t="s">
        <v>17</v>
      </c>
      <c r="AD9" s="1"/>
      <c r="AE9" s="8" t="s">
        <v>17</v>
      </c>
      <c r="AF9" s="8" t="s">
        <v>18</v>
      </c>
      <c r="AG9" s="8" t="s">
        <v>17</v>
      </c>
      <c r="AI9" s="8" t="s">
        <v>17</v>
      </c>
      <c r="AJ9" s="8" t="s">
        <v>18</v>
      </c>
      <c r="AK9" s="8" t="s">
        <v>17</v>
      </c>
      <c r="AM9" s="8" t="s">
        <v>17</v>
      </c>
      <c r="AN9" s="8" t="s">
        <v>18</v>
      </c>
      <c r="AO9" s="8" t="s">
        <v>17</v>
      </c>
      <c r="AQ9" s="8" t="s">
        <v>17</v>
      </c>
      <c r="AR9" s="8" t="s">
        <v>18</v>
      </c>
      <c r="AS9" s="8" t="s">
        <v>17</v>
      </c>
      <c r="AU9" s="8" t="s">
        <v>17</v>
      </c>
      <c r="AV9" s="8" t="s">
        <v>18</v>
      </c>
      <c r="AW9" s="8" t="s">
        <v>17</v>
      </c>
      <c r="AY9" s="8" t="s">
        <v>17</v>
      </c>
      <c r="AZ9" s="8" t="s">
        <v>18</v>
      </c>
      <c r="BA9" s="8" t="s">
        <v>17</v>
      </c>
    </row>
    <row r="10" customFormat="false" ht="12.75" hidden="false" customHeight="false" outlineLevel="0" collapsed="false">
      <c r="C10" s="13"/>
      <c r="D10" s="14"/>
      <c r="E10" s="15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I10" s="1"/>
      <c r="AJ10" s="1"/>
      <c r="AK10" s="1"/>
      <c r="AM10" s="1"/>
      <c r="AN10" s="1"/>
      <c r="AO10" s="1"/>
      <c r="AQ10" s="1"/>
      <c r="AR10" s="1"/>
      <c r="AS10" s="1"/>
      <c r="AU10" s="1"/>
      <c r="AV10" s="1"/>
      <c r="AW10" s="1"/>
      <c r="AY10" s="1"/>
      <c r="AZ10" s="1"/>
      <c r="BA10" s="1"/>
    </row>
    <row r="11" customFormat="false" ht="12.75" hidden="false" customHeight="false" outlineLevel="0" collapsed="false">
      <c r="C11" s="16"/>
      <c r="D11" s="17"/>
      <c r="E11" s="18"/>
    </row>
    <row r="12" customFormat="false" ht="12.75" hidden="false" customHeight="false" outlineLevel="0" collapsed="false">
      <c r="A12" s="19"/>
      <c r="B12" s="20" t="s">
        <v>19</v>
      </c>
      <c r="C12" s="21" t="n">
        <f aca="false">G12+K12+O12+S12+W12+AA12+AE12+AI12+AM12+AQ12+AU12+AY12</f>
        <v>11088</v>
      </c>
      <c r="D12" s="22" t="n">
        <f aca="false">H12+L12+P12+T12+X12+AB12+AF12+AJ12+AN12+AR12+AV12+AZ12</f>
        <v>9139.791</v>
      </c>
      <c r="E12" s="23" t="n">
        <f aca="false">I12+M12+Q12+U12+Y12+AC12+AG12+AK12+AO12+AS12+AW12+BA12</f>
        <v>11488.2439545417</v>
      </c>
      <c r="G12" s="22" t="n">
        <f aca="false">1273+295</f>
        <v>1568</v>
      </c>
      <c r="H12" s="24" t="n">
        <f aca="false">'Midwest Power Trading'!D19</f>
        <v>916.925</v>
      </c>
      <c r="I12" s="24" t="n">
        <f aca="false">'Midwest Power Trading'!F19</f>
        <v>1295.688139625</v>
      </c>
      <c r="K12" s="22" t="n">
        <f aca="false">2012+439</f>
        <v>2451</v>
      </c>
      <c r="L12" s="24" t="n">
        <f aca="false">'Northeast Power Trading'!D19</f>
        <v>2141.256</v>
      </c>
      <c r="M12" s="24" t="n">
        <f aca="false">'Northeast Power Trading'!F19</f>
        <v>1681.866124125</v>
      </c>
      <c r="O12" s="22" t="n">
        <f aca="false">1126+269</f>
        <v>1395</v>
      </c>
      <c r="P12" s="24" t="n">
        <f aca="false">'Southeast Power Trading'!D19</f>
        <v>916.925</v>
      </c>
      <c r="Q12" s="24" t="n">
        <f aca="false">'Southeast Power Trading'!F19</f>
        <v>1295.688139625</v>
      </c>
      <c r="R12" s="25"/>
      <c r="S12" s="22" t="n">
        <f aca="false">544+130</f>
        <v>674</v>
      </c>
      <c r="T12" s="24" t="n">
        <f aca="false">'Ercot Trading'!D19</f>
        <v>793.09</v>
      </c>
      <c r="U12" s="24" t="n">
        <f aca="false">'Ercot Trading'!F19</f>
        <v>1118.746633125</v>
      </c>
      <c r="V12" s="25"/>
      <c r="W12" s="22" t="n">
        <v>0</v>
      </c>
      <c r="X12" s="24" t="n">
        <f aca="false">Options!D19</f>
        <v>534.106</v>
      </c>
      <c r="Y12" s="24" t="n">
        <f aca="false">Options!F19</f>
        <v>823.348288125</v>
      </c>
      <c r="Z12" s="25"/>
      <c r="AA12" s="22" t="n">
        <v>0</v>
      </c>
      <c r="AB12" s="24" t="n">
        <f aca="false">'Services Desk'!D19</f>
        <v>373.871</v>
      </c>
      <c r="AC12" s="24" t="n">
        <f aca="false">'Services Desk'!F19</f>
        <v>946.4098105</v>
      </c>
      <c r="AD12" s="25"/>
      <c r="AE12" s="22" t="n">
        <f aca="false">1464+355</f>
        <v>1819</v>
      </c>
      <c r="AF12" s="24" t="n">
        <f aca="false">Fundamentals!D19</f>
        <v>737.74</v>
      </c>
      <c r="AG12" s="24" t="n">
        <f aca="false">Fundamentals!F19</f>
        <v>1034.70274654167</v>
      </c>
      <c r="AI12" s="22" t="n">
        <f aca="false">797+150</f>
        <v>947</v>
      </c>
      <c r="AJ12" s="24" t="n">
        <f aca="false">'Genco Control Area'!D19</f>
        <v>631.878</v>
      </c>
      <c r="AK12" s="24" t="n">
        <f aca="false">'Genco Control Area'!F19</f>
        <v>904.370685625</v>
      </c>
      <c r="AM12" s="22" t="n">
        <v>125</v>
      </c>
      <c r="AN12" s="24" t="n">
        <f aca="false">49+11+43</f>
        <v>103</v>
      </c>
      <c r="AO12" s="24" t="n">
        <v>0</v>
      </c>
      <c r="AQ12" s="22" t="n">
        <v>0</v>
      </c>
      <c r="AR12" s="24" t="n">
        <v>0</v>
      </c>
      <c r="AS12" s="24" t="n">
        <v>0</v>
      </c>
      <c r="AU12" s="22" t="n">
        <f aca="false">1826+367-67-17-AY12</f>
        <v>1301</v>
      </c>
      <c r="AV12" s="22" t="n">
        <f aca="false">1002+223-AZ12+631+135</f>
        <v>1084</v>
      </c>
      <c r="AW12" s="24" t="n">
        <f aca="false">([1]Data!$P$31+[1]Data!$P$34)/1000</f>
        <v>1092.82579725</v>
      </c>
      <c r="AY12" s="22" t="n">
        <v>808</v>
      </c>
      <c r="AZ12" s="22" t="n">
        <f aca="false">477+59+34+1+336</f>
        <v>907</v>
      </c>
      <c r="BA12" s="24" t="n">
        <f aca="false">([2]Data!$P$31+[2]Data!$P$34)/1000</f>
        <v>1294.59759</v>
      </c>
    </row>
    <row r="13" customFormat="false" ht="12.75" hidden="false" customHeight="false" outlineLevel="0" collapsed="false">
      <c r="A13" s="19" t="s">
        <v>20</v>
      </c>
      <c r="B13" s="20" t="s">
        <v>21</v>
      </c>
      <c r="C13" s="21" t="n">
        <f aca="false">G13+K13+O13+S13+W13+AA13+AE13+AI13+AM13+AQ13+AU13+AY13</f>
        <v>793</v>
      </c>
      <c r="D13" s="22" t="n">
        <f aca="false">H13+L13+P13+T13+X13+AB13+AF13+AJ13+AN13+AR13+AV13+AZ13</f>
        <v>837.112</v>
      </c>
      <c r="E13" s="23" t="n">
        <f aca="false">I13+M13+Q13+U13+Y13+AC13+AG13+AK13+AO13+AS13+AW13+BA13</f>
        <v>1281.02</v>
      </c>
      <c r="G13" s="22" t="n">
        <f aca="false">133</f>
        <v>133</v>
      </c>
      <c r="H13" s="24" t="n">
        <f aca="false">'Midwest Power Trading'!D20</f>
        <v>73.802</v>
      </c>
      <c r="I13" s="24" t="n">
        <f aca="false">'Midwest Power Trading'!F20</f>
        <v>166.056</v>
      </c>
      <c r="K13" s="22" t="n">
        <v>165</v>
      </c>
      <c r="L13" s="24" t="n">
        <f aca="false">'Northeast Power Trading'!D20</f>
        <v>94.176</v>
      </c>
      <c r="M13" s="24" t="n">
        <f aca="false">'Northeast Power Trading'!F20</f>
        <v>205.876</v>
      </c>
      <c r="O13" s="22" t="n">
        <v>71</v>
      </c>
      <c r="P13" s="24" t="n">
        <f aca="false">'Southeast Power Trading'!D20</f>
        <v>80.242</v>
      </c>
      <c r="Q13" s="24" t="n">
        <f aca="false">'Southeast Power Trading'!F20</f>
        <v>166.056</v>
      </c>
      <c r="R13" s="25"/>
      <c r="S13" s="22" t="n">
        <v>30</v>
      </c>
      <c r="T13" s="24" t="n">
        <f aca="false">'Ercot Trading'!D20</f>
        <v>35.084</v>
      </c>
      <c r="U13" s="24" t="n">
        <f aca="false">'Ercot Trading'!F20</f>
        <v>57.504</v>
      </c>
      <c r="V13" s="25"/>
      <c r="W13" s="22" t="n">
        <v>0</v>
      </c>
      <c r="X13" s="24" t="n">
        <f aca="false">Options!D20</f>
        <v>0.628</v>
      </c>
      <c r="Y13" s="24" t="n">
        <f aca="false">Options!F20</f>
        <v>38.5</v>
      </c>
      <c r="Z13" s="25"/>
      <c r="AA13" s="22" t="n">
        <v>0</v>
      </c>
      <c r="AB13" s="24" t="n">
        <f aca="false">'Services Desk'!D20</f>
        <v>21.27</v>
      </c>
      <c r="AC13" s="24" t="n">
        <f aca="false">'Services Desk'!F20</f>
        <v>31.75</v>
      </c>
      <c r="AD13" s="25"/>
      <c r="AE13" s="22" t="n">
        <v>170</v>
      </c>
      <c r="AF13" s="24" t="n">
        <f aca="false">Fundamentals!D20</f>
        <v>152.91</v>
      </c>
      <c r="AG13" s="24" t="n">
        <f aca="false">Fundamentals!F20</f>
        <v>180.612</v>
      </c>
      <c r="AI13" s="22" t="n">
        <f aca="false">68</f>
        <v>68</v>
      </c>
      <c r="AJ13" s="24" t="n">
        <f aca="false">'Genco Control Area'!D20</f>
        <v>95</v>
      </c>
      <c r="AK13" s="24" t="n">
        <f aca="false">'Genco Control Area'!F20</f>
        <v>94.214</v>
      </c>
      <c r="AM13" s="22" t="n">
        <v>20</v>
      </c>
      <c r="AN13" s="24" t="n">
        <f aca="false">15+8</f>
        <v>23</v>
      </c>
      <c r="AO13" s="24" t="n">
        <v>0</v>
      </c>
      <c r="AQ13" s="22" t="n">
        <v>0</v>
      </c>
      <c r="AR13" s="24" t="n">
        <v>0</v>
      </c>
      <c r="AS13" s="24" t="n">
        <v>0</v>
      </c>
      <c r="AU13" s="22" t="n">
        <f aca="false">141-5-AY13</f>
        <v>111</v>
      </c>
      <c r="AV13" s="22" t="n">
        <f aca="false">204-AZ13+57</f>
        <v>137</v>
      </c>
      <c r="AW13" s="24" t="n">
        <f aca="false">[1]Data!$P$43/1000</f>
        <v>318.852</v>
      </c>
      <c r="AY13" s="22" t="n">
        <f aca="false">565-540</f>
        <v>25</v>
      </c>
      <c r="AZ13" s="22" t="n">
        <f aca="false">1+7+8+1+94+13</f>
        <v>124</v>
      </c>
      <c r="BA13" s="24" t="n">
        <f aca="false">[2]Data!$P$43/1000</f>
        <v>21.6</v>
      </c>
    </row>
    <row r="14" customFormat="false" ht="12.75" hidden="false" customHeight="false" outlineLevel="0" collapsed="false">
      <c r="A14" s="19" t="s">
        <v>22</v>
      </c>
      <c r="B14" s="20" t="s">
        <v>23</v>
      </c>
      <c r="C14" s="21" t="n">
        <f aca="false">G14+K14+O14+S14+W14+AA14+AE14+AI14+AM14+AQ14+AU14+AY14</f>
        <v>1035</v>
      </c>
      <c r="D14" s="22" t="n">
        <f aca="false">H14+L14+P14+T14+X14+AB14+AF14+AJ14+AN14+AR14+AV14+AZ14</f>
        <v>1013.96</v>
      </c>
      <c r="E14" s="23" t="n">
        <f aca="false">I14+M14+Q14+U14+Y14+AC14+AG14+AK14+AO14+AS14+AW14+BA14</f>
        <v>2000.916</v>
      </c>
      <c r="G14" s="22" t="n">
        <f aca="false">113</f>
        <v>113</v>
      </c>
      <c r="H14" s="24" t="n">
        <f aca="false">'Midwest Power Trading'!D21</f>
        <v>71.552</v>
      </c>
      <c r="I14" s="24" t="n">
        <f aca="false">'Midwest Power Trading'!F21</f>
        <v>184.016</v>
      </c>
      <c r="K14" s="22" t="n">
        <v>174</v>
      </c>
      <c r="L14" s="24" t="n">
        <f aca="false">'Northeast Power Trading'!D21</f>
        <v>126.886</v>
      </c>
      <c r="M14" s="24" t="n">
        <f aca="false">'Northeast Power Trading'!F21</f>
        <v>273.976</v>
      </c>
      <c r="O14" s="22" t="n">
        <v>106</v>
      </c>
      <c r="P14" s="24" t="n">
        <f aca="false">'Southeast Power Trading'!D21</f>
        <v>91.906</v>
      </c>
      <c r="Q14" s="24" t="n">
        <f aca="false">'Southeast Power Trading'!F21</f>
        <v>184.016</v>
      </c>
      <c r="R14" s="25"/>
      <c r="S14" s="22" t="n">
        <v>37</v>
      </c>
      <c r="T14" s="24" t="n">
        <f aca="false">'Ercot Trading'!D21</f>
        <v>32.312</v>
      </c>
      <c r="U14" s="24" t="n">
        <f aca="false">'Ercot Trading'!F21</f>
        <v>57</v>
      </c>
      <c r="V14" s="25"/>
      <c r="W14" s="22" t="n">
        <v>0</v>
      </c>
      <c r="X14" s="24" t="n">
        <f aca="false">Options!D21</f>
        <v>33.185</v>
      </c>
      <c r="Y14" s="24" t="n">
        <f aca="false">Options!F21</f>
        <v>82.02</v>
      </c>
      <c r="Z14" s="25"/>
      <c r="AA14" s="22" t="n">
        <v>0</v>
      </c>
      <c r="AB14" s="24" t="n">
        <f aca="false">'Services Desk'!D21</f>
        <v>19.805</v>
      </c>
      <c r="AC14" s="24" t="n">
        <f aca="false">'Services Desk'!F21</f>
        <v>419.892</v>
      </c>
      <c r="AD14" s="25"/>
      <c r="AE14" s="22" t="n">
        <v>40</v>
      </c>
      <c r="AF14" s="24" t="n">
        <f aca="false">Fundamentals!D21</f>
        <v>49.638</v>
      </c>
      <c r="AG14" s="24" t="n">
        <f aca="false">Fundamentals!F21</f>
        <v>63.996</v>
      </c>
      <c r="AI14" s="22" t="n">
        <f aca="false">28</f>
        <v>28</v>
      </c>
      <c r="AJ14" s="24" t="n">
        <f aca="false">'Genco Control Area'!D21</f>
        <v>87.676</v>
      </c>
      <c r="AK14" s="24" t="n">
        <f aca="false">'Genco Control Area'!F21</f>
        <v>27.996</v>
      </c>
      <c r="AM14" s="22" t="n">
        <v>1</v>
      </c>
      <c r="AN14" s="24" t="n">
        <f aca="false">9+2</f>
        <v>11</v>
      </c>
      <c r="AO14" s="24" t="n">
        <v>0</v>
      </c>
      <c r="AQ14" s="22" t="n">
        <v>0</v>
      </c>
      <c r="AR14" s="24" t="n">
        <v>0</v>
      </c>
      <c r="AS14" s="24" t="n">
        <v>0</v>
      </c>
      <c r="AU14" s="22" t="n">
        <f aca="false">560-24-AY14</f>
        <v>-4</v>
      </c>
      <c r="AV14" s="22" t="n">
        <f aca="false">267-AZ14+223</f>
        <v>134</v>
      </c>
      <c r="AW14" s="24" t="n">
        <f aca="false">[1]Data!$P$50/1000</f>
        <v>368.004</v>
      </c>
      <c r="AY14" s="22" t="n">
        <v>540</v>
      </c>
      <c r="AZ14" s="22" t="n">
        <f aca="false">131+225</f>
        <v>356</v>
      </c>
      <c r="BA14" s="24" t="n">
        <f aca="false">[2]Data!$P$50/1000</f>
        <v>340</v>
      </c>
    </row>
    <row r="15" customFormat="false" ht="12.75" hidden="false" customHeight="false" outlineLevel="0" collapsed="false">
      <c r="A15" s="19" t="s">
        <v>24</v>
      </c>
      <c r="B15" s="20" t="s">
        <v>25</v>
      </c>
      <c r="C15" s="21" t="n">
        <f aca="false">G15+K15+O15+S15+W15+AA15+AE15+AI15+AM15+AQ15+AU15+AY15</f>
        <v>1339</v>
      </c>
      <c r="D15" s="22" t="n">
        <f aca="false">H15+L15+P15+T15+X15+AB15+AF15+AJ15+AN15+AR15+AV15+AZ15</f>
        <v>3422.365</v>
      </c>
      <c r="E15" s="23" t="n">
        <f aca="false">I15+M15+Q15+U15+Y15+AC15+AG15+AK15+AO15+AS15+AW15+BA15</f>
        <v>2990.316</v>
      </c>
      <c r="G15" s="22" t="n">
        <v>6</v>
      </c>
      <c r="H15" s="24" t="n">
        <f aca="false">'Midwest Power Trading'!D22</f>
        <v>3</v>
      </c>
      <c r="I15" s="24" t="n">
        <f aca="false">'Midwest Power Trading'!F22</f>
        <v>11.052</v>
      </c>
      <c r="K15" s="22" t="n">
        <v>10</v>
      </c>
      <c r="L15" s="24" t="n">
        <f aca="false">'Northeast Power Trading'!D22</f>
        <v>4.998</v>
      </c>
      <c r="M15" s="24" t="n">
        <f aca="false">'Northeast Power Trading'!F22</f>
        <v>0</v>
      </c>
      <c r="O15" s="22" t="n">
        <v>6</v>
      </c>
      <c r="P15" s="24" t="n">
        <f aca="false">'Southeast Power Trading'!D22</f>
        <v>31.75</v>
      </c>
      <c r="Q15" s="24" t="n">
        <f aca="false">'Southeast Power Trading'!F22</f>
        <v>11.052</v>
      </c>
      <c r="R15" s="25"/>
      <c r="S15" s="22" t="n">
        <f aca="false">0</f>
        <v>0</v>
      </c>
      <c r="T15" s="24" t="n">
        <f aca="false">'Ercot Trading'!D22</f>
        <v>0</v>
      </c>
      <c r="U15" s="24" t="n">
        <f aca="false">'Ercot Trading'!F22</f>
        <v>500.004</v>
      </c>
      <c r="V15" s="25"/>
      <c r="W15" s="22" t="n">
        <v>0</v>
      </c>
      <c r="X15" s="24" t="n">
        <f aca="false">Options!D22</f>
        <v>0</v>
      </c>
      <c r="Y15" s="24" t="n">
        <f aca="false">Options!F22</f>
        <v>0</v>
      </c>
      <c r="Z15" s="25"/>
      <c r="AA15" s="22" t="n">
        <v>0</v>
      </c>
      <c r="AB15" s="24" t="n">
        <f aca="false">'Services Desk'!D22</f>
        <v>0.077</v>
      </c>
      <c r="AC15" s="24" t="n">
        <f aca="false">'Services Desk'!F22</f>
        <v>0</v>
      </c>
      <c r="AD15" s="25"/>
      <c r="AE15" s="22" t="n">
        <v>460</v>
      </c>
      <c r="AF15" s="24" t="n">
        <f aca="false">Fundamentals!D22</f>
        <v>978.326</v>
      </c>
      <c r="AG15" s="24" t="n">
        <f aca="false">Fundamentals!F22</f>
        <v>1060.008</v>
      </c>
      <c r="AI15" s="22" t="n">
        <v>0</v>
      </c>
      <c r="AJ15" s="24" t="n">
        <f aca="false">'Genco Control Area'!D22</f>
        <v>0.214</v>
      </c>
      <c r="AK15" s="24" t="n">
        <f aca="false">'Genco Control Area'!F22</f>
        <v>0</v>
      </c>
      <c r="AM15" s="22" t="n">
        <v>0</v>
      </c>
      <c r="AN15" s="24" t="n">
        <f aca="false">514+300</f>
        <v>814</v>
      </c>
      <c r="AO15" s="24" t="n">
        <v>0</v>
      </c>
      <c r="AQ15" s="22" t="n">
        <v>0</v>
      </c>
      <c r="AR15" s="24" t="n">
        <v>0</v>
      </c>
      <c r="AS15" s="24" t="n">
        <v>0</v>
      </c>
      <c r="AU15" s="22" t="n">
        <f aca="false">864-7-AY15</f>
        <v>244</v>
      </c>
      <c r="AV15" s="22" t="n">
        <f aca="false">1233-AZ15+357</f>
        <v>649</v>
      </c>
      <c r="AW15" s="24" t="n">
        <f aca="false">([1]Data!$P$62+[1]Data!$P$70)/1000</f>
        <v>265</v>
      </c>
      <c r="AY15" s="22" t="n">
        <f aca="false">600+13</f>
        <v>613</v>
      </c>
      <c r="AZ15" s="22" t="n">
        <f aca="false">1+15+669+250+6</f>
        <v>941</v>
      </c>
      <c r="BA15" s="24" t="n">
        <f aca="false">([2]Data!$P$62+[2]Data!$P$70)/1000</f>
        <v>1143.2</v>
      </c>
    </row>
    <row r="16" customFormat="false" ht="12.75" hidden="false" customHeight="false" outlineLevel="0" collapsed="false">
      <c r="A16" s="19" t="s">
        <v>26</v>
      </c>
      <c r="B16" s="20" t="s">
        <v>27</v>
      </c>
      <c r="C16" s="21" t="n">
        <f aca="false">G16+K16+O16+S16+W16+AA16+AE16+AI16+AM16+AQ16+AU16+AY16</f>
        <v>1976</v>
      </c>
      <c r="D16" s="22" t="n">
        <f aca="false">H16+L16+P16+T16+X16+AB16+AF16+AJ16+AN16+AR16+AV16+AZ16</f>
        <v>2452.046</v>
      </c>
      <c r="E16" s="23" t="n">
        <f aca="false">I16+M16+Q16+U16+Y16+AC16+AG16+AK16+AO16+AS16+AW16+BA16</f>
        <v>3051.868</v>
      </c>
      <c r="G16" s="22" t="n">
        <f aca="false">9+42+72</f>
        <v>123</v>
      </c>
      <c r="H16" s="24" t="n">
        <f aca="false">'Midwest Power Trading'!D23</f>
        <v>122.424</v>
      </c>
      <c r="I16" s="24" t="n">
        <f aca="false">'Midwest Power Trading'!F23</f>
        <v>159.064</v>
      </c>
      <c r="K16" s="22" t="n">
        <f aca="false">17+83+119</f>
        <v>219</v>
      </c>
      <c r="L16" s="24" t="n">
        <f aca="false">'Northeast Power Trading'!D23</f>
        <v>180.631</v>
      </c>
      <c r="M16" s="24" t="n">
        <f aca="false">'Northeast Power Trading'!F23</f>
        <v>212.58</v>
      </c>
      <c r="O16" s="22" t="n">
        <f aca="false">11+53+83</f>
        <v>147</v>
      </c>
      <c r="P16" s="24" t="n">
        <f aca="false">'Southeast Power Trading'!D23</f>
        <v>142.418</v>
      </c>
      <c r="Q16" s="24" t="n">
        <f aca="false">'Southeast Power Trading'!F23</f>
        <v>159.064</v>
      </c>
      <c r="R16" s="25"/>
      <c r="S16" s="22" t="n">
        <f aca="false">4+18+35</f>
        <v>57</v>
      </c>
      <c r="T16" s="24" t="n">
        <f aca="false">'Ercot Trading'!D23</f>
        <v>123.335</v>
      </c>
      <c r="U16" s="24" t="n">
        <f aca="false">'Ercot Trading'!F23</f>
        <v>263.448</v>
      </c>
      <c r="V16" s="25"/>
      <c r="W16" s="22" t="n">
        <v>0</v>
      </c>
      <c r="X16" s="24" t="n">
        <f aca="false">Options!D23</f>
        <v>9.233</v>
      </c>
      <c r="Y16" s="24" t="n">
        <f aca="false">Options!F23</f>
        <v>75.804</v>
      </c>
      <c r="Z16" s="25"/>
      <c r="AA16" s="22" t="n">
        <v>0</v>
      </c>
      <c r="AB16" s="24" t="n">
        <f aca="false">'Services Desk'!D23</f>
        <v>6.632</v>
      </c>
      <c r="AC16" s="24" t="n">
        <f aca="false">'Services Desk'!F23</f>
        <v>92.1</v>
      </c>
      <c r="AD16" s="25"/>
      <c r="AE16" s="22" t="n">
        <f aca="false">27+146+140</f>
        <v>313</v>
      </c>
      <c r="AF16" s="24" t="n">
        <f aca="false">Fundamentals!D23</f>
        <v>485.734</v>
      </c>
      <c r="AG16" s="24" t="n">
        <f aca="false">Fundamentals!F23</f>
        <v>779.688</v>
      </c>
      <c r="AI16" s="22" t="n">
        <f aca="false">17+60+36</f>
        <v>113</v>
      </c>
      <c r="AJ16" s="24" t="n">
        <f aca="false">'Genco Control Area'!D23</f>
        <v>329.639</v>
      </c>
      <c r="AK16" s="24" t="n">
        <f aca="false">'Genco Control Area'!F23</f>
        <v>304.32</v>
      </c>
      <c r="AM16" s="22" t="n">
        <f aca="false">10+6</f>
        <v>16</v>
      </c>
      <c r="AN16" s="24" t="n">
        <f aca="false">9+48+3+4+2</f>
        <v>66</v>
      </c>
      <c r="AO16" s="24" t="n">
        <v>0</v>
      </c>
      <c r="AQ16" s="22" t="n">
        <v>0</v>
      </c>
      <c r="AR16" s="24" t="n">
        <v>0</v>
      </c>
      <c r="AS16" s="24" t="n">
        <v>0</v>
      </c>
      <c r="AU16" s="22" t="n">
        <f aca="false">189+202+417+190-1-1-8-AY16</f>
        <v>74</v>
      </c>
      <c r="AV16" s="22" t="n">
        <f aca="false">53+50+138+334-AZ16+411</f>
        <v>459</v>
      </c>
      <c r="AW16" s="24" t="n">
        <f aca="false">([1]Data!$P$66+[1]Data!$P$69+[1]Data!$P$73+[1]Data!$P$78)/1000</f>
        <v>576</v>
      </c>
      <c r="AY16" s="22" t="n">
        <f aca="false">194+200+400+120</f>
        <v>914</v>
      </c>
      <c r="AZ16" s="22" t="n">
        <f aca="false">3+29+5+3+1+45+12+48+381</f>
        <v>527</v>
      </c>
      <c r="BA16" s="24" t="n">
        <f aca="false">([2]Data!$P$66+[2]Data!$P$69+[2]Data!$P$73+[2]Data!$P$78)/1000</f>
        <v>429.8</v>
      </c>
    </row>
    <row r="17" customFormat="false" ht="12.75" hidden="false" customHeight="false" outlineLevel="0" collapsed="false">
      <c r="A17" s="19" t="s">
        <v>28</v>
      </c>
      <c r="B17" s="20" t="s">
        <v>29</v>
      </c>
      <c r="C17" s="21" t="n">
        <f aca="false">G17+K17+O17+S17+W17+AA17+AE17+AI17+AM17+AQ17+AU17+AY17</f>
        <v>1983</v>
      </c>
      <c r="D17" s="22" t="n">
        <f aca="false">H17+L17+P17+T17+X17+AB17+AF17+AJ17+AN17+AR17+AV17+AZ17</f>
        <v>1665.795</v>
      </c>
      <c r="E17" s="23" t="n">
        <f aca="false">I17+M17+Q17+U17+Y17+AC17+AG17+AK17+AO17+AS17+AW17+BA17</f>
        <v>1890.156</v>
      </c>
      <c r="G17" s="22" t="n">
        <f aca="false">74</f>
        <v>74</v>
      </c>
      <c r="H17" s="24" t="n">
        <f aca="false">'Midwest Power Trading'!D24</f>
        <v>27.594</v>
      </c>
      <c r="I17" s="24" t="n">
        <f aca="false">'Midwest Power Trading'!F24</f>
        <v>33.096</v>
      </c>
      <c r="K17" s="22" t="n">
        <f aca="false">112</f>
        <v>112</v>
      </c>
      <c r="L17" s="24" t="n">
        <f aca="false">'Northeast Power Trading'!D24</f>
        <v>94.186</v>
      </c>
      <c r="M17" s="24" t="n">
        <f aca="false">'Northeast Power Trading'!F24</f>
        <v>90.024</v>
      </c>
      <c r="O17" s="22" t="n">
        <v>67</v>
      </c>
      <c r="P17" s="24" t="n">
        <f aca="false">'Southeast Power Trading'!D24</f>
        <v>33.54</v>
      </c>
      <c r="Q17" s="24" t="n">
        <f aca="false">'Southeast Power Trading'!F24</f>
        <v>33.096</v>
      </c>
      <c r="R17" s="25"/>
      <c r="S17" s="22" t="n">
        <v>25</v>
      </c>
      <c r="T17" s="24" t="n">
        <f aca="false">'Ercot Trading'!D24</f>
        <v>11.544</v>
      </c>
      <c r="U17" s="24" t="n">
        <f aca="false">'Ercot Trading'!F24</f>
        <v>15.888</v>
      </c>
      <c r="V17" s="25"/>
      <c r="W17" s="22" t="n">
        <v>0</v>
      </c>
      <c r="X17" s="24" t="n">
        <f aca="false">Options!D24</f>
        <v>34.86</v>
      </c>
      <c r="Y17" s="24" t="n">
        <f aca="false">Options!F24</f>
        <v>36</v>
      </c>
      <c r="Z17" s="25"/>
      <c r="AA17" s="22" t="n">
        <v>0</v>
      </c>
      <c r="AB17" s="24" t="n">
        <f aca="false">'Services Desk'!D24</f>
        <v>4.461</v>
      </c>
      <c r="AC17" s="24" t="n">
        <f aca="false">'Services Desk'!F24</f>
        <v>13.2</v>
      </c>
      <c r="AD17" s="25"/>
      <c r="AE17" s="22" t="n">
        <v>95</v>
      </c>
      <c r="AF17" s="24" t="n">
        <f aca="false">Fundamentals!D24</f>
        <v>58.32</v>
      </c>
      <c r="AG17" s="24" t="n">
        <f aca="false">Fundamentals!F24</f>
        <v>272.856</v>
      </c>
      <c r="AI17" s="22" t="n">
        <v>325</v>
      </c>
      <c r="AJ17" s="24" t="n">
        <f aca="false">'Genco Control Area'!D24</f>
        <v>3.29</v>
      </c>
      <c r="AK17" s="24" t="n">
        <f aca="false">'Genco Control Area'!F24</f>
        <v>0</v>
      </c>
      <c r="AM17" s="22" t="n">
        <v>47</v>
      </c>
      <c r="AN17" s="24" t="n">
        <v>2</v>
      </c>
      <c r="AO17" s="24" t="n">
        <v>0</v>
      </c>
      <c r="AQ17" s="22" t="n">
        <v>0</v>
      </c>
      <c r="AR17" s="24" t="n">
        <v>0</v>
      </c>
      <c r="AS17" s="24" t="n">
        <v>0</v>
      </c>
      <c r="AU17" s="22" t="n">
        <f aca="false">1238-AY17</f>
        <v>1238</v>
      </c>
      <c r="AV17" s="22" t="n">
        <f aca="false">881-AZ17+515</f>
        <v>1396</v>
      </c>
      <c r="AW17" s="24" t="n">
        <f aca="false">[1]Data!$P$80/1000</f>
        <v>1395.996</v>
      </c>
      <c r="AY17" s="22" t="n">
        <v>0</v>
      </c>
      <c r="AZ17" s="22" t="n">
        <v>0</v>
      </c>
      <c r="BA17" s="24" t="n">
        <v>0</v>
      </c>
    </row>
    <row r="18" customFormat="false" ht="12.75" hidden="false" customHeight="false" outlineLevel="0" collapsed="false">
      <c r="A18" s="19" t="s">
        <v>30</v>
      </c>
      <c r="B18" s="20" t="s">
        <v>31</v>
      </c>
      <c r="C18" s="21" t="n">
        <f aca="false">G18+K18+O18+S18+W18+AA18+AE18+AI18+AM18+AQ18+AU18+AY18</f>
        <v>2584</v>
      </c>
      <c r="D18" s="22" t="n">
        <f aca="false">H18+L18+P18+T18+X18+AB18+AF18+AJ18+AN18+AR18+AV18+AZ18</f>
        <v>2582</v>
      </c>
      <c r="E18" s="23" t="n">
        <f aca="false">I18+M18+Q18+U18+Y18+AC18+AG18+AK18+AO18+AS18+AW18+BA18</f>
        <v>7752</v>
      </c>
      <c r="G18" s="22" t="n">
        <v>0</v>
      </c>
      <c r="H18" s="24" t="n">
        <f aca="false">'Midwest Power Trading'!D25</f>
        <v>0</v>
      </c>
      <c r="I18" s="24" t="n">
        <f aca="false">'Midwest Power Trading'!F25</f>
        <v>0</v>
      </c>
      <c r="K18" s="22" t="n">
        <v>0</v>
      </c>
      <c r="L18" s="24" t="n">
        <f aca="false">'Northeast Power Trading'!D25</f>
        <v>0</v>
      </c>
      <c r="M18" s="24" t="n">
        <f aca="false">'Northeast Power Trading'!F25</f>
        <v>0</v>
      </c>
      <c r="O18" s="22" t="n">
        <v>0</v>
      </c>
      <c r="P18" s="24" t="n">
        <f aca="false">'Southeast Power Trading'!D25</f>
        <v>0</v>
      </c>
      <c r="Q18" s="24" t="n">
        <f aca="false">'Southeast Power Trading'!F25</f>
        <v>0</v>
      </c>
      <c r="R18" s="25"/>
      <c r="S18" s="22" t="n">
        <v>0</v>
      </c>
      <c r="T18" s="24" t="n">
        <f aca="false">'Ercot Trading'!D25</f>
        <v>0</v>
      </c>
      <c r="U18" s="24" t="n">
        <f aca="false">'Ercot Trading'!F25</f>
        <v>0</v>
      </c>
      <c r="V18" s="25"/>
      <c r="W18" s="22" t="n">
        <v>0</v>
      </c>
      <c r="X18" s="24" t="n">
        <f aca="false">Options!D25</f>
        <v>0</v>
      </c>
      <c r="Y18" s="24" t="n">
        <f aca="false">Options!F25</f>
        <v>0</v>
      </c>
      <c r="Z18" s="25"/>
      <c r="AA18" s="22" t="n">
        <v>0</v>
      </c>
      <c r="AB18" s="24" t="n">
        <f aca="false">'Services Desk'!D25</f>
        <v>0</v>
      </c>
      <c r="AC18" s="24" t="n">
        <f aca="false">'Services Desk'!F25</f>
        <v>0</v>
      </c>
      <c r="AD18" s="25"/>
      <c r="AE18" s="22" t="n">
        <v>0</v>
      </c>
      <c r="AF18" s="24" t="n">
        <f aca="false">Fundamentals!D25</f>
        <v>0</v>
      </c>
      <c r="AG18" s="24" t="n">
        <f aca="false">Fundamentals!F25</f>
        <v>0</v>
      </c>
      <c r="AI18" s="22" t="n">
        <v>0</v>
      </c>
      <c r="AJ18" s="24" t="n">
        <f aca="false">'Genco Control Area'!D25</f>
        <v>0</v>
      </c>
      <c r="AK18" s="24" t="n">
        <f aca="false">'Genco Control Area'!F25</f>
        <v>0</v>
      </c>
      <c r="AM18" s="22" t="n">
        <v>0</v>
      </c>
      <c r="AN18" s="24" t="n">
        <v>0</v>
      </c>
      <c r="AO18" s="24" t="n">
        <v>0</v>
      </c>
      <c r="AQ18" s="22" t="n">
        <v>0</v>
      </c>
      <c r="AR18" s="24" t="n">
        <v>0</v>
      </c>
      <c r="AS18" s="24" t="n">
        <v>0</v>
      </c>
      <c r="AU18" s="22" t="n">
        <f aca="false">2584-AY18</f>
        <v>2584</v>
      </c>
      <c r="AV18" s="22" t="n">
        <f aca="false">1507-AZ18+1075</f>
        <v>2582</v>
      </c>
      <c r="AW18" s="24" t="n">
        <f aca="false">[1]Data!$P$79/1000</f>
        <v>7752</v>
      </c>
      <c r="AY18" s="22" t="n">
        <v>0</v>
      </c>
      <c r="AZ18" s="22" t="n">
        <v>0</v>
      </c>
      <c r="BA18" s="24" t="n">
        <v>0</v>
      </c>
    </row>
    <row r="19" customFormat="false" ht="12.75" hidden="false" customHeight="false" outlineLevel="0" collapsed="false">
      <c r="A19" s="19" t="s">
        <v>32</v>
      </c>
      <c r="B19" s="20" t="s">
        <v>33</v>
      </c>
      <c r="C19" s="21" t="n">
        <f aca="false">G19+K19+O19+S19+W19+AA19+AE19+AI19+AM19+AQ19+AU19+AY19</f>
        <v>2099</v>
      </c>
      <c r="D19" s="22" t="n">
        <f aca="false">H19+L19+P19+T19+X19+AB19+AF19+AJ19+AN19+AR19+AV19+AZ19</f>
        <v>2100.602</v>
      </c>
      <c r="E19" s="23" t="n">
        <f aca="false">I19+M19+Q19+U19+Y19+AC19+AG19+AK19+AO19+AS19+AW19+BA19</f>
        <v>0</v>
      </c>
      <c r="G19" s="22" t="n">
        <v>0</v>
      </c>
      <c r="H19" s="24" t="n">
        <f aca="false">'Midwest Power Trading'!D26</f>
        <v>0</v>
      </c>
      <c r="I19" s="24" t="n">
        <f aca="false">'Midwest Power Trading'!F26</f>
        <v>0</v>
      </c>
      <c r="K19" s="22" t="n">
        <v>0</v>
      </c>
      <c r="L19" s="24" t="n">
        <f aca="false">'Northeast Power Trading'!D26</f>
        <v>0</v>
      </c>
      <c r="M19" s="24" t="n">
        <f aca="false">'Northeast Power Trading'!F26</f>
        <v>0</v>
      </c>
      <c r="O19" s="22" t="n">
        <v>0</v>
      </c>
      <c r="P19" s="24" t="n">
        <f aca="false">'Southeast Power Trading'!D26</f>
        <v>0</v>
      </c>
      <c r="Q19" s="24" t="n">
        <f aca="false">'Southeast Power Trading'!F26</f>
        <v>0</v>
      </c>
      <c r="R19" s="25"/>
      <c r="S19" s="22" t="n">
        <v>0</v>
      </c>
      <c r="T19" s="24" t="n">
        <f aca="false">'Ercot Trading'!D26</f>
        <v>0</v>
      </c>
      <c r="U19" s="24" t="n">
        <f aca="false">'Ercot Trading'!F26</f>
        <v>0</v>
      </c>
      <c r="V19" s="25"/>
      <c r="W19" s="22" t="n">
        <v>0</v>
      </c>
      <c r="X19" s="24" t="n">
        <f aca="false">Options!D26</f>
        <v>0</v>
      </c>
      <c r="Y19" s="24" t="n">
        <f aca="false">Options!F26</f>
        <v>0</v>
      </c>
      <c r="Z19" s="25"/>
      <c r="AA19" s="22" t="n">
        <v>0</v>
      </c>
      <c r="AB19" s="24" t="n">
        <f aca="false">'Services Desk'!D26</f>
        <v>0</v>
      </c>
      <c r="AC19" s="24" t="n">
        <f aca="false">'Services Desk'!F26</f>
        <v>0</v>
      </c>
      <c r="AD19" s="25"/>
      <c r="AE19" s="22" t="n">
        <v>0</v>
      </c>
      <c r="AF19" s="24" t="n">
        <f aca="false">Fundamentals!D26</f>
        <v>0</v>
      </c>
      <c r="AG19" s="24" t="n">
        <f aca="false">Fundamentals!F26</f>
        <v>0</v>
      </c>
      <c r="AI19" s="22" t="n">
        <f aca="false">1771</f>
        <v>1771</v>
      </c>
      <c r="AJ19" s="24" t="n">
        <f aca="false">'Genco Control Area'!D26</f>
        <v>1771.602</v>
      </c>
      <c r="AK19" s="24" t="n">
        <f aca="false">'Genco Control Area'!F26</f>
        <v>0</v>
      </c>
      <c r="AM19" s="22" t="n">
        <v>328</v>
      </c>
      <c r="AN19" s="24" t="n">
        <f aca="false">192+137</f>
        <v>329</v>
      </c>
      <c r="AO19" s="24" t="n">
        <v>0</v>
      </c>
      <c r="AQ19" s="22" t="n">
        <v>0</v>
      </c>
      <c r="AR19" s="24" t="n">
        <v>0</v>
      </c>
      <c r="AS19" s="24" t="n">
        <v>0</v>
      </c>
      <c r="AU19" s="22" t="n">
        <v>0</v>
      </c>
      <c r="AV19" s="22" t="n">
        <f aca="false">0</f>
        <v>0</v>
      </c>
      <c r="AW19" s="24" t="n">
        <v>0</v>
      </c>
      <c r="AY19" s="22" t="n">
        <v>0</v>
      </c>
      <c r="AZ19" s="22" t="n">
        <v>0</v>
      </c>
      <c r="BA19" s="24" t="n">
        <v>0</v>
      </c>
    </row>
    <row r="20" customFormat="false" ht="12.75" hidden="false" customHeight="false" outlineLevel="0" collapsed="false">
      <c r="A20" s="19" t="s">
        <v>34</v>
      </c>
      <c r="B20" s="20" t="s">
        <v>35</v>
      </c>
      <c r="C20" s="21" t="n">
        <f aca="false">G20+K20+O20+S20+W20+AA20+AE20+AI20+AM20+AQ20+AU20+AY20</f>
        <v>0</v>
      </c>
      <c r="D20" s="22" t="n">
        <f aca="false">H20+L20+P20+T20+X20+AB20+AF20+AJ20+AN20+AR20+AV20+AZ20</f>
        <v>2289.6</v>
      </c>
      <c r="E20" s="23" t="n">
        <f aca="false">I20+M20+Q20+U20+Y20+AC20+AG20+AK20+AO20+AS20+AW20+BA20</f>
        <v>5331.6</v>
      </c>
      <c r="G20" s="22" t="n">
        <v>0</v>
      </c>
      <c r="H20" s="24" t="n">
        <f aca="false">'Midwest Power Trading'!D27</f>
        <v>432</v>
      </c>
      <c r="I20" s="24" t="n">
        <f aca="false">'Midwest Power Trading'!F27</f>
        <v>561.6</v>
      </c>
      <c r="K20" s="22" t="n">
        <v>0</v>
      </c>
      <c r="L20" s="24" t="n">
        <f aca="false">'Northeast Power Trading'!D27</f>
        <v>355.2</v>
      </c>
      <c r="M20" s="24" t="n">
        <f aca="false">'Northeast Power Trading'!F27</f>
        <v>1386</v>
      </c>
      <c r="O20" s="22" t="n">
        <v>0</v>
      </c>
      <c r="P20" s="24" t="n">
        <f aca="false">'Southeast Power Trading'!D27</f>
        <v>201.6</v>
      </c>
      <c r="Q20" s="24" t="n">
        <f aca="false">'Southeast Power Trading'!F27</f>
        <v>561.6</v>
      </c>
      <c r="R20" s="25"/>
      <c r="S20" s="22" t="n">
        <v>0</v>
      </c>
      <c r="T20" s="24" t="n">
        <f aca="false">'Ercot Trading'!D27</f>
        <v>278.4</v>
      </c>
      <c r="U20" s="24" t="n">
        <f aca="false">'Ercot Trading'!F27</f>
        <v>810</v>
      </c>
      <c r="V20" s="25"/>
      <c r="W20" s="22" t="n">
        <v>0</v>
      </c>
      <c r="X20" s="24" t="n">
        <f aca="false">Options!D27</f>
        <v>62.4</v>
      </c>
      <c r="Y20" s="24" t="n">
        <f aca="false">Options!F27</f>
        <v>104.4</v>
      </c>
      <c r="Z20" s="25"/>
      <c r="AA20" s="22" t="n">
        <v>0</v>
      </c>
      <c r="AB20" s="24" t="n">
        <f aca="false">'Services Desk'!D27</f>
        <v>0</v>
      </c>
      <c r="AC20" s="24" t="n">
        <f aca="false">'Services Desk'!F27</f>
        <v>248.4</v>
      </c>
      <c r="AD20" s="25"/>
      <c r="AE20" s="22" t="n">
        <v>0</v>
      </c>
      <c r="AF20" s="24" t="n">
        <f aca="false">Fundamentals!D27</f>
        <v>960</v>
      </c>
      <c r="AG20" s="24" t="n">
        <f aca="false">Fundamentals!F27</f>
        <v>1202.4</v>
      </c>
      <c r="AI20" s="22" t="n">
        <v>0</v>
      </c>
      <c r="AJ20" s="24" t="n">
        <f aca="false">'Genco Control Area'!D27</f>
        <v>0</v>
      </c>
      <c r="AK20" s="24" t="n">
        <f aca="false">'Genco Control Area'!F27</f>
        <v>313.2</v>
      </c>
      <c r="AM20" s="22" t="n">
        <v>0</v>
      </c>
      <c r="AN20" s="24" t="n">
        <v>0</v>
      </c>
      <c r="AO20" s="24" t="n">
        <v>0</v>
      </c>
      <c r="AQ20" s="22" t="n">
        <v>0</v>
      </c>
      <c r="AR20" s="24" t="n">
        <v>0</v>
      </c>
      <c r="AS20" s="24" t="n">
        <v>0</v>
      </c>
      <c r="AU20" s="22" t="n">
        <v>0</v>
      </c>
      <c r="AV20" s="22" t="n">
        <v>0</v>
      </c>
      <c r="AW20" s="24" t="n">
        <f aca="false">[1]Data!$P$74/1000</f>
        <v>144</v>
      </c>
      <c r="AY20" s="22" t="n">
        <v>0</v>
      </c>
      <c r="AZ20" s="22" t="n">
        <v>0</v>
      </c>
      <c r="BA20" s="24" t="n">
        <v>0</v>
      </c>
    </row>
    <row r="21" customFormat="false" ht="12.75" hidden="false" customHeight="false" outlineLevel="0" collapsed="false">
      <c r="A21" s="19" t="s">
        <v>36</v>
      </c>
      <c r="B21" s="20" t="s">
        <v>37</v>
      </c>
      <c r="C21" s="21" t="n">
        <f aca="false">G21+K21+O21+S21+W21+AA21+AE21+AI21+AM21+AQ21+AU21+AY21</f>
        <v>2202</v>
      </c>
      <c r="D21" s="22" t="n">
        <f aca="false">H21+L21+P21+T21+X21+AB21+AF21+AJ21+AN21+AR21+AV21+AZ21</f>
        <v>1281.177</v>
      </c>
      <c r="E21" s="23" t="n">
        <f aca="false">I21+M21+Q21+U21+Y21+AC21+AG21+AK21+AO21+AS21+AW21+BA21</f>
        <v>1161.016</v>
      </c>
      <c r="G21" s="22" t="n">
        <f aca="false">154</f>
        <v>154</v>
      </c>
      <c r="H21" s="24" t="n">
        <f aca="false">'Midwest Power Trading'!D28</f>
        <v>16.487</v>
      </c>
      <c r="I21" s="24" t="n">
        <f aca="false">'Midwest Power Trading'!F28</f>
        <v>17.4</v>
      </c>
      <c r="K21" s="22" t="n">
        <f aca="false">162</f>
        <v>162</v>
      </c>
      <c r="L21" s="24" t="n">
        <f aca="false">'Northeast Power Trading'!D28</f>
        <v>15.049</v>
      </c>
      <c r="M21" s="24" t="n">
        <f aca="false">'Northeast Power Trading'!F28</f>
        <v>0</v>
      </c>
      <c r="O21" s="22" t="n">
        <v>85</v>
      </c>
      <c r="P21" s="24" t="n">
        <f aca="false">'Southeast Power Trading'!D28</f>
        <v>3.213</v>
      </c>
      <c r="Q21" s="24" t="n">
        <f aca="false">'Southeast Power Trading'!F28</f>
        <v>17.4</v>
      </c>
      <c r="R21" s="25"/>
      <c r="S21" s="22" t="n">
        <v>57</v>
      </c>
      <c r="T21" s="24" t="n">
        <f aca="false">'Ercot Trading'!D28</f>
        <v>8.598</v>
      </c>
      <c r="U21" s="24" t="n">
        <f aca="false">'Ercot Trading'!F28</f>
        <v>0</v>
      </c>
      <c r="V21" s="25"/>
      <c r="W21" s="22" t="n">
        <v>0</v>
      </c>
      <c r="X21" s="24" t="n">
        <f aca="false">Options!D28</f>
        <v>2.968</v>
      </c>
      <c r="Y21" s="24" t="n">
        <f aca="false">Options!F28</f>
        <v>0</v>
      </c>
      <c r="Z21" s="25"/>
      <c r="AA21" s="22" t="n">
        <v>0</v>
      </c>
      <c r="AB21" s="24" t="n">
        <f aca="false">'Services Desk'!D28</f>
        <v>0</v>
      </c>
      <c r="AC21" s="24" t="n">
        <f aca="false">'Services Desk'!F28</f>
        <v>6</v>
      </c>
      <c r="AD21" s="25"/>
      <c r="AE21" s="22" t="n">
        <v>59</v>
      </c>
      <c r="AF21" s="24" t="n">
        <f aca="false">Fundamentals!D28</f>
        <v>13.559</v>
      </c>
      <c r="AG21" s="24" t="n">
        <f aca="false">Fundamentals!F28</f>
        <v>0</v>
      </c>
      <c r="AI21" s="22" t="n">
        <v>0</v>
      </c>
      <c r="AJ21" s="24" t="n">
        <f aca="false">'Genco Control Area'!D28</f>
        <v>40.303</v>
      </c>
      <c r="AK21" s="24" t="n">
        <f aca="false">'Genco Control Area'!F28</f>
        <v>0</v>
      </c>
      <c r="AM21" s="22" t="n">
        <v>5</v>
      </c>
      <c r="AN21" s="24" t="n">
        <v>-600</v>
      </c>
      <c r="AO21" s="24" t="n">
        <v>0</v>
      </c>
      <c r="AQ21" s="22" t="n">
        <v>0</v>
      </c>
      <c r="AR21" s="24" t="n">
        <v>0</v>
      </c>
      <c r="AS21" s="24" t="n">
        <v>0</v>
      </c>
      <c r="AU21" s="22" t="n">
        <f aca="false">1681-1-AY21</f>
        <v>1080</v>
      </c>
      <c r="AV21" s="22" t="n">
        <f aca="false">1075+6-AZ21+700</f>
        <v>1402</v>
      </c>
      <c r="AW21" s="24" t="n">
        <f aca="false">([1]Data!$P$84+[1]Data!$P$53)/1000</f>
        <v>870.216</v>
      </c>
      <c r="AY21" s="22" t="n">
        <f aca="false">600</f>
        <v>600</v>
      </c>
      <c r="AZ21" s="22" t="n">
        <f aca="false">129+250</f>
        <v>379</v>
      </c>
      <c r="BA21" s="24" t="n">
        <f aca="false">[2]Data!$P$83/1000</f>
        <v>250</v>
      </c>
    </row>
    <row r="22" customFormat="false" ht="12.75" hidden="false" customHeight="false" outlineLevel="0" collapsed="false">
      <c r="A22" s="19" t="s">
        <v>38</v>
      </c>
      <c r="B22" s="20" t="s">
        <v>39</v>
      </c>
      <c r="C22" s="21" t="n">
        <f aca="false">G22+K22+O22+S22+W22+AA22+AE22+AI22+AM22+AQ22+AU22+AY22</f>
        <v>0</v>
      </c>
      <c r="D22" s="22" t="n">
        <f aca="false">H22+L22+P22+T22+X22+AB22+AF22+AJ22+AN22+AR22+AV22+AZ22</f>
        <v>173.347</v>
      </c>
      <c r="E22" s="23" t="n">
        <f aca="false">I22+M22+Q22+U22+Y22+AC22+AG22+AK22+AO22+AS22+AW22+BA22</f>
        <v>446.768</v>
      </c>
      <c r="G22" s="22" t="n">
        <v>0</v>
      </c>
      <c r="H22" s="24" t="n">
        <f aca="false">'Midwest Power Trading'!D29</f>
        <v>2.256</v>
      </c>
      <c r="I22" s="24" t="n">
        <f aca="false">'Midwest Power Trading'!F29</f>
        <v>0</v>
      </c>
      <c r="K22" s="22" t="n">
        <v>0</v>
      </c>
      <c r="L22" s="24" t="n">
        <f aca="false">'Northeast Power Trading'!D29</f>
        <v>71.051</v>
      </c>
      <c r="M22" s="24" t="n">
        <f aca="false">'Northeast Power Trading'!F29</f>
        <v>197.76</v>
      </c>
      <c r="O22" s="22" t="n">
        <v>0</v>
      </c>
      <c r="P22" s="24" t="n">
        <f aca="false">'Southeast Power Trading'!D29</f>
        <v>0</v>
      </c>
      <c r="Q22" s="24" t="n">
        <f aca="false">'Southeast Power Trading'!F29</f>
        <v>58</v>
      </c>
      <c r="R22" s="25"/>
      <c r="S22" s="22" t="n">
        <v>0</v>
      </c>
      <c r="T22" s="24" t="n">
        <f aca="false">'Ercot Trading'!D29</f>
        <v>0</v>
      </c>
      <c r="U22" s="24" t="n">
        <f aca="false">'Ercot Trading'!F29</f>
        <v>7</v>
      </c>
      <c r="V22" s="25"/>
      <c r="W22" s="22" t="n">
        <v>0</v>
      </c>
      <c r="X22" s="24" t="n">
        <f aca="false">Options!D29</f>
        <v>0</v>
      </c>
      <c r="Y22" s="24" t="n">
        <f aca="false">Options!F29</f>
        <v>0</v>
      </c>
      <c r="Z22" s="25"/>
      <c r="AA22" s="22" t="n">
        <v>0</v>
      </c>
      <c r="AB22" s="24" t="n">
        <f aca="false">'Services Desk'!D29</f>
        <v>0.04</v>
      </c>
      <c r="AC22" s="24" t="n">
        <f aca="false">'Services Desk'!F29</f>
        <v>0</v>
      </c>
      <c r="AD22" s="25"/>
      <c r="AE22" s="22" t="n">
        <v>0</v>
      </c>
      <c r="AF22" s="24" t="n">
        <f aca="false">Fundamentals!D29</f>
        <v>0</v>
      </c>
      <c r="AG22" s="24" t="n">
        <f aca="false">Fundamentals!F29</f>
        <v>0</v>
      </c>
      <c r="AI22" s="22" t="n">
        <v>0</v>
      </c>
      <c r="AJ22" s="24" t="n">
        <f aca="false">'Genco Control Area'!D29</f>
        <v>0</v>
      </c>
      <c r="AK22" s="24" t="n">
        <f aca="false">'Genco Control Area'!F29</f>
        <v>0</v>
      </c>
      <c r="AM22" s="22" t="n">
        <v>0</v>
      </c>
      <c r="AN22" s="24" t="n">
        <v>0</v>
      </c>
      <c r="AO22" s="24" t="n">
        <v>0</v>
      </c>
      <c r="AQ22" s="22" t="n">
        <v>0</v>
      </c>
      <c r="AR22" s="24" t="n">
        <v>0</v>
      </c>
      <c r="AS22" s="24" t="n">
        <v>0</v>
      </c>
      <c r="AU22" s="22" t="n">
        <v>0</v>
      </c>
      <c r="AV22" s="22" t="n">
        <f aca="false">100-AZ22</f>
        <v>60</v>
      </c>
      <c r="AW22" s="24" t="n">
        <f aca="false">[1]Data!$P$75/1000</f>
        <v>97.512</v>
      </c>
      <c r="AY22" s="22" t="n">
        <v>0</v>
      </c>
      <c r="AZ22" s="22" t="n">
        <f aca="false">40</f>
        <v>40</v>
      </c>
      <c r="BA22" s="24" t="n">
        <f aca="false">[2]Data!$P$75/1000</f>
        <v>86.496</v>
      </c>
    </row>
    <row r="23" customFormat="false" ht="12.75" hidden="false" customHeight="false" outlineLevel="0" collapsed="false">
      <c r="A23" s="19" t="s">
        <v>40</v>
      </c>
      <c r="B23" s="20" t="s">
        <v>41</v>
      </c>
      <c r="C23" s="21" t="n">
        <f aca="false">G23+K23+O23+S23+W23+AA23+AE23+AI23+AM23+AQ23+AU23+AY23</f>
        <v>16</v>
      </c>
      <c r="D23" s="22" t="n">
        <f aca="false">H23+L23+P23+T23+X23+AB23+AF23+AJ23+AN23+AR23+AV23+AZ23</f>
        <v>0</v>
      </c>
      <c r="E23" s="23" t="n">
        <f aca="false">I23+M23+Q23+U23+Y23+AC23+AG23+AK23+AO23+AS23+AW23+BA23</f>
        <v>0</v>
      </c>
      <c r="G23" s="22" t="n">
        <v>0</v>
      </c>
      <c r="H23" s="24" t="n">
        <f aca="false">'Midwest Power Trading'!D30</f>
        <v>0</v>
      </c>
      <c r="I23" s="24" t="n">
        <f aca="false">'Midwest Power Trading'!F30</f>
        <v>0</v>
      </c>
      <c r="K23" s="22" t="n">
        <v>0</v>
      </c>
      <c r="L23" s="24" t="n">
        <f aca="false">'Northeast Power Trading'!D30</f>
        <v>0</v>
      </c>
      <c r="M23" s="24" t="n">
        <f aca="false">'Northeast Power Trading'!F30</f>
        <v>0</v>
      </c>
      <c r="O23" s="22" t="n">
        <v>0</v>
      </c>
      <c r="P23" s="24" t="n">
        <f aca="false">'Southeast Power Trading'!D30</f>
        <v>0</v>
      </c>
      <c r="Q23" s="24" t="n">
        <f aca="false">'Southeast Power Trading'!F30</f>
        <v>0</v>
      </c>
      <c r="R23" s="25"/>
      <c r="S23" s="22" t="n">
        <v>0</v>
      </c>
      <c r="T23" s="24" t="n">
        <f aca="false">'Ercot Trading'!D30</f>
        <v>0</v>
      </c>
      <c r="U23" s="24" t="n">
        <f aca="false">'Ercot Trading'!F30</f>
        <v>0</v>
      </c>
      <c r="V23" s="25"/>
      <c r="W23" s="22" t="n">
        <v>0</v>
      </c>
      <c r="X23" s="24" t="n">
        <f aca="false">Options!D30</f>
        <v>0</v>
      </c>
      <c r="Y23" s="24" t="n">
        <f aca="false">Options!F30</f>
        <v>0</v>
      </c>
      <c r="Z23" s="25"/>
      <c r="AA23" s="22" t="n">
        <v>0</v>
      </c>
      <c r="AB23" s="24" t="n">
        <f aca="false">'Services Desk'!D30</f>
        <v>0</v>
      </c>
      <c r="AC23" s="24" t="n">
        <f aca="false">'Services Desk'!F30</f>
        <v>0</v>
      </c>
      <c r="AD23" s="25"/>
      <c r="AE23" s="22" t="n">
        <v>0</v>
      </c>
      <c r="AF23" s="24" t="n">
        <f aca="false">Fundamentals!D30</f>
        <v>0</v>
      </c>
      <c r="AG23" s="24" t="n">
        <f aca="false">Fundamentals!F30</f>
        <v>0</v>
      </c>
      <c r="AI23" s="22" t="n">
        <v>0</v>
      </c>
      <c r="AJ23" s="24" t="n">
        <f aca="false">'Genco Control Area'!D30</f>
        <v>0</v>
      </c>
      <c r="AK23" s="24" t="n">
        <f aca="false">'Genco Control Area'!F30</f>
        <v>0</v>
      </c>
      <c r="AM23" s="22" t="n">
        <v>0</v>
      </c>
      <c r="AN23" s="24" t="n">
        <v>0</v>
      </c>
      <c r="AO23" s="24" t="n">
        <v>0</v>
      </c>
      <c r="AQ23" s="22" t="n">
        <v>0</v>
      </c>
      <c r="AR23" s="24" t="n">
        <v>0</v>
      </c>
      <c r="AS23" s="24" t="n">
        <v>0</v>
      </c>
      <c r="AU23" s="22" t="n">
        <v>16</v>
      </c>
      <c r="AV23" s="22" t="n">
        <v>0</v>
      </c>
      <c r="AW23" s="24" t="n">
        <v>0</v>
      </c>
      <c r="AY23" s="22" t="n">
        <v>0</v>
      </c>
      <c r="AZ23" s="22" t="n">
        <v>0</v>
      </c>
      <c r="BA23" s="24" t="n">
        <v>0</v>
      </c>
    </row>
    <row r="24" customFormat="false" ht="12.75" hidden="false" customHeight="false" outlineLevel="0" collapsed="false">
      <c r="A24" s="19" t="s">
        <v>42</v>
      </c>
      <c r="B24" s="20" t="s">
        <v>43</v>
      </c>
      <c r="C24" s="21" t="n">
        <f aca="false">G24+K24+O24+S24+W24+AA24+AE24+AI24+AM24+AQ24+AU24+AY24</f>
        <v>857</v>
      </c>
      <c r="D24" s="22" t="n">
        <f aca="false">H24+L24+P24+T24+X24+AB24+AF24+AJ24+AN24+AR24+AV24+AZ24</f>
        <v>432.381</v>
      </c>
      <c r="E24" s="23" t="n">
        <f aca="false">I24+M24+Q24+U24+Y24+AC24+AG24+AK24+AO24+AS24+AW24+BA24</f>
        <v>854.772</v>
      </c>
      <c r="G24" s="22" t="n">
        <f aca="false">9</f>
        <v>9</v>
      </c>
      <c r="H24" s="24" t="n">
        <f aca="false">'Midwest Power Trading'!D31</f>
        <v>4.506</v>
      </c>
      <c r="I24" s="24" t="n">
        <f aca="false">'Midwest Power Trading'!F31</f>
        <v>0</v>
      </c>
      <c r="K24" s="22" t="n">
        <v>15</v>
      </c>
      <c r="L24" s="24" t="n">
        <f aca="false">'Northeast Power Trading'!D31</f>
        <v>0</v>
      </c>
      <c r="M24" s="24" t="n">
        <f aca="false">'Northeast Power Trading'!F31</f>
        <v>0</v>
      </c>
      <c r="O24" s="22" t="n">
        <v>10</v>
      </c>
      <c r="P24" s="24" t="n">
        <f aca="false">'Southeast Power Trading'!D31</f>
        <v>0</v>
      </c>
      <c r="Q24" s="24" t="n">
        <f aca="false">'Southeast Power Trading'!F31</f>
        <v>0</v>
      </c>
      <c r="R24" s="25"/>
      <c r="S24" s="22" t="n">
        <v>0</v>
      </c>
      <c r="T24" s="24" t="n">
        <f aca="false">'Ercot Trading'!D31</f>
        <v>0</v>
      </c>
      <c r="U24" s="24" t="n">
        <f aca="false">'Ercot Trading'!F31</f>
        <v>0</v>
      </c>
      <c r="V24" s="25"/>
      <c r="W24" s="22" t="n">
        <v>0</v>
      </c>
      <c r="X24" s="24" t="n">
        <f aca="false">Options!D31</f>
        <v>0</v>
      </c>
      <c r="Y24" s="24" t="n">
        <f aca="false">Options!F31</f>
        <v>0</v>
      </c>
      <c r="Z24" s="25"/>
      <c r="AA24" s="22" t="n">
        <v>0</v>
      </c>
      <c r="AB24" s="24" t="n">
        <f aca="false">'Services Desk'!D31</f>
        <v>0</v>
      </c>
      <c r="AC24" s="24" t="n">
        <f aca="false">'Services Desk'!F31</f>
        <v>0</v>
      </c>
      <c r="AD24" s="25"/>
      <c r="AE24" s="22" t="n">
        <v>0</v>
      </c>
      <c r="AF24" s="24" t="n">
        <f aca="false">Fundamentals!D31</f>
        <v>0</v>
      </c>
      <c r="AG24" s="24" t="n">
        <f aca="false">Fundamentals!F31</f>
        <v>0</v>
      </c>
      <c r="AI24" s="22" t="n">
        <v>722</v>
      </c>
      <c r="AJ24" s="24" t="n">
        <f aca="false">'Genco Control Area'!D31</f>
        <v>399.875</v>
      </c>
      <c r="AK24" s="24" t="n">
        <f aca="false">'Genco Control Area'!F31</f>
        <v>818.832</v>
      </c>
      <c r="AM24" s="22" t="n">
        <v>84</v>
      </c>
      <c r="AN24" s="24" t="n">
        <v>0</v>
      </c>
      <c r="AO24" s="24" t="n">
        <f aca="false">'[3]Midwest Power Origination'!AL31</f>
        <v>0</v>
      </c>
      <c r="AQ24" s="22" t="n">
        <v>0</v>
      </c>
      <c r="AR24" s="24" t="n">
        <v>0</v>
      </c>
      <c r="AS24" s="24" t="n">
        <f aca="false">'[3]Midwest Power Origination'!AP31</f>
        <v>0</v>
      </c>
      <c r="AU24" s="22" t="n">
        <v>17</v>
      </c>
      <c r="AV24" s="22" t="n">
        <f aca="false">21-AZ24+7</f>
        <v>28</v>
      </c>
      <c r="AW24" s="24" t="n">
        <f aca="false">[1]Data!$P$86/1000</f>
        <v>35.94</v>
      </c>
      <c r="AY24" s="22" t="n">
        <v>0</v>
      </c>
      <c r="AZ24" s="22" t="n">
        <v>0</v>
      </c>
      <c r="BA24" s="24" t="n">
        <v>0</v>
      </c>
    </row>
    <row r="25" customFormat="false" ht="13.5" hidden="false" customHeight="false" outlineLevel="0" collapsed="false">
      <c r="A25" s="26" t="s">
        <v>44</v>
      </c>
      <c r="B25" s="27" t="s">
        <v>45</v>
      </c>
      <c r="C25" s="28" t="n">
        <f aca="false">SUM(C12:C24)</f>
        <v>25972</v>
      </c>
      <c r="D25" s="29" t="n">
        <f aca="false">SUM(D12:D24)</f>
        <v>27390.176</v>
      </c>
      <c r="E25" s="30" t="n">
        <f aca="false">SUM(E12:E24)</f>
        <v>38248.6759545417</v>
      </c>
      <c r="F25" s="25"/>
      <c r="G25" s="29" t="n">
        <f aca="false">SUM(G12:G24)</f>
        <v>2180</v>
      </c>
      <c r="H25" s="29" t="n">
        <f aca="false">SUM(H12:H24)</f>
        <v>1670.546</v>
      </c>
      <c r="I25" s="29" t="n">
        <f aca="false">SUM(I12:I24)</f>
        <v>2427.972139625</v>
      </c>
      <c r="J25" s="25"/>
      <c r="K25" s="29" t="n">
        <f aca="false">SUM(K12:K24)</f>
        <v>3308</v>
      </c>
      <c r="L25" s="29" t="n">
        <f aca="false">SUM(L12:L24)</f>
        <v>3083.433</v>
      </c>
      <c r="M25" s="29" t="n">
        <f aca="false">SUM(M12:M24)</f>
        <v>4048.082124125</v>
      </c>
      <c r="N25" s="25"/>
      <c r="O25" s="29" t="n">
        <f aca="false">SUM(O12:O24)</f>
        <v>1887</v>
      </c>
      <c r="P25" s="29" t="n">
        <f aca="false">SUM(P12:P24)</f>
        <v>1501.594</v>
      </c>
      <c r="Q25" s="29" t="n">
        <f aca="false">SUM(Q12:Q24)</f>
        <v>2485.972139625</v>
      </c>
      <c r="R25" s="25"/>
      <c r="S25" s="29" t="n">
        <f aca="false">SUM(S12:S24)</f>
        <v>880</v>
      </c>
      <c r="T25" s="29" t="n">
        <f aca="false">SUM(T12:T24)</f>
        <v>1282.363</v>
      </c>
      <c r="U25" s="29" t="n">
        <f aca="false">SUM(U12:U24)</f>
        <v>2829.590633125</v>
      </c>
      <c r="V25" s="25"/>
      <c r="W25" s="29" t="n">
        <f aca="false">SUM(W12:W24)</f>
        <v>0</v>
      </c>
      <c r="X25" s="29" t="n">
        <f aca="false">SUM(X12:X24)</f>
        <v>677.38</v>
      </c>
      <c r="Y25" s="29" t="n">
        <f aca="false">SUM(Y12:Y24)</f>
        <v>1160.072288125</v>
      </c>
      <c r="Z25" s="25"/>
      <c r="AA25" s="29" t="n">
        <f aca="false">SUM(AA12:AA24)</f>
        <v>0</v>
      </c>
      <c r="AB25" s="29" t="n">
        <f aca="false">SUM(AB12:AB24)</f>
        <v>426.156</v>
      </c>
      <c r="AC25" s="29" t="n">
        <f aca="false">SUM(AC12:AC24)</f>
        <v>1757.7518105</v>
      </c>
      <c r="AD25" s="25"/>
      <c r="AE25" s="29" t="n">
        <f aca="false">SUM(AE12:AE24)</f>
        <v>2956</v>
      </c>
      <c r="AF25" s="29" t="n">
        <f aca="false">SUM(AF12:AF24)</f>
        <v>3436.227</v>
      </c>
      <c r="AG25" s="29" t="n">
        <f aca="false">SUM(AG12:AG24)</f>
        <v>4594.26274654167</v>
      </c>
      <c r="AH25" s="25"/>
      <c r="AI25" s="29" t="n">
        <f aca="false">SUM(AI12:AI24)</f>
        <v>3974</v>
      </c>
      <c r="AJ25" s="29" t="n">
        <f aca="false">SUM(AJ12:AJ24)</f>
        <v>3359.477</v>
      </c>
      <c r="AK25" s="29" t="n">
        <f aca="false">SUM(AK12:AK24)</f>
        <v>2462.932685625</v>
      </c>
      <c r="AL25" s="25"/>
      <c r="AM25" s="29" t="n">
        <f aca="false">SUM(AM12:AM24)</f>
        <v>626</v>
      </c>
      <c r="AN25" s="29" t="n">
        <f aca="false">SUM(AN12:AN24)</f>
        <v>748</v>
      </c>
      <c r="AO25" s="29" t="n">
        <f aca="false">SUM(AO12:AO24)</f>
        <v>0</v>
      </c>
      <c r="AP25" s="25"/>
      <c r="AQ25" s="29" t="n">
        <f aca="false">SUM(AQ12:AQ24)</f>
        <v>0</v>
      </c>
      <c r="AR25" s="29" t="n">
        <f aca="false">SUM(AR12:AR24)</f>
        <v>0</v>
      </c>
      <c r="AS25" s="29" t="n">
        <f aca="false">SUM(AS12:AS24)</f>
        <v>0</v>
      </c>
      <c r="AT25" s="25"/>
      <c r="AU25" s="29" t="n">
        <f aca="false">SUM(AU12:AU24)</f>
        <v>6661</v>
      </c>
      <c r="AV25" s="29" t="n">
        <f aca="false">SUM(AV12:AV24)</f>
        <v>7931</v>
      </c>
      <c r="AW25" s="31" t="n">
        <f aca="false">SUM(AW12:AW24)</f>
        <v>12916.34579725</v>
      </c>
      <c r="AX25" s="25"/>
      <c r="AY25" s="29" t="n">
        <f aca="false">SUM(AY12:AY24)</f>
        <v>3500</v>
      </c>
      <c r="AZ25" s="29" t="n">
        <f aca="false">SUM(AZ12:AZ24)</f>
        <v>3274</v>
      </c>
      <c r="BA25" s="31" t="n">
        <f aca="false">SUM(BA12:BA24)</f>
        <v>3565.69359</v>
      </c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2.75" hidden="false" customHeight="false" outlineLevel="0" collapsed="false">
      <c r="C26" s="16"/>
      <c r="D26" s="17"/>
      <c r="E26" s="18"/>
      <c r="G26" s="1"/>
      <c r="H26" s="1"/>
    </row>
    <row r="27" customFormat="false" ht="12.75" hidden="false" customHeight="false" outlineLevel="0" collapsed="false">
      <c r="C27" s="16"/>
      <c r="D27" s="17"/>
      <c r="E27" s="18"/>
      <c r="G27" s="1"/>
      <c r="H27" s="1"/>
    </row>
    <row r="28" customFormat="false" ht="15.75" hidden="false" customHeight="false" outlineLevel="0" collapsed="false">
      <c r="B28" s="3" t="s">
        <v>46</v>
      </c>
      <c r="C28" s="16"/>
      <c r="D28" s="17"/>
      <c r="E28" s="18"/>
      <c r="G28" s="1"/>
      <c r="H28" s="1"/>
    </row>
    <row r="29" customFormat="false" ht="12.75" hidden="false" customHeight="false" outlineLevel="0" collapsed="false">
      <c r="C29" s="16"/>
      <c r="D29" s="17"/>
      <c r="E29" s="18"/>
      <c r="G29" s="1"/>
      <c r="H29" s="1"/>
    </row>
    <row r="30" customFormat="false" ht="12.75" hidden="false" customHeight="false" outlineLevel="0" collapsed="false">
      <c r="B30" s="32" t="s">
        <v>47</v>
      </c>
      <c r="C30" s="21" t="n">
        <f aca="false">G30+K30+O30+S30+W30+AA30+AE30+AI30+AM30+AQ30+AU30+AY30</f>
        <v>3</v>
      </c>
      <c r="D30" s="22" t="n">
        <f aca="false">H30+L30+P30+T30+X30+AB30+AF30+AJ30+AN30+AR30+AV30+AZ30</f>
        <v>4</v>
      </c>
      <c r="E30" s="23" t="n">
        <f aca="false">I30+M30+Q30+U30+Y30+AC30+AG30+AK30+AO30+AS30+AW30+BA30</f>
        <v>5</v>
      </c>
      <c r="F30" s="33"/>
      <c r="G30" s="22" t="n">
        <v>1</v>
      </c>
      <c r="H30" s="22" t="n">
        <f aca="false">'Midwest Power Trading'!D41</f>
        <v>1</v>
      </c>
      <c r="I30" s="22" t="n">
        <f aca="false">'Midwest Power Trading'!F41</f>
        <v>1</v>
      </c>
      <c r="K30" s="22" t="n">
        <v>1</v>
      </c>
      <c r="L30" s="22" t="n">
        <f aca="false">'Northeast Power Trading'!D41</f>
        <v>1</v>
      </c>
      <c r="M30" s="22" t="n">
        <f aca="false">'Northeast Power Trading'!F41</f>
        <v>1</v>
      </c>
      <c r="N30" s="22"/>
      <c r="O30" s="22" t="n">
        <v>0</v>
      </c>
      <c r="P30" s="22" t="n">
        <f aca="false">'Southeast Power Trading'!D41</f>
        <v>0</v>
      </c>
      <c r="Q30" s="22" t="n">
        <f aca="false">'Southeast Power Trading'!F41</f>
        <v>1</v>
      </c>
      <c r="R30" s="22"/>
      <c r="S30" s="22" t="n">
        <v>0</v>
      </c>
      <c r="T30" s="22" t="n">
        <f aca="false">'Ercot Trading'!D41</f>
        <v>0</v>
      </c>
      <c r="U30" s="22" t="n">
        <f aca="false">'Ercot Trading'!F41</f>
        <v>0</v>
      </c>
      <c r="V30" s="22"/>
      <c r="W30" s="22" t="n">
        <v>0</v>
      </c>
      <c r="X30" s="22" t="n">
        <f aca="false">Options!D41</f>
        <v>1</v>
      </c>
      <c r="Y30" s="22" t="n">
        <f aca="false">Options!F41</f>
        <v>1</v>
      </c>
      <c r="Z30" s="22"/>
      <c r="AA30" s="22" t="n">
        <v>0</v>
      </c>
      <c r="AB30" s="22" t="n">
        <f aca="false">'Services Desk'!E41</f>
        <v>0</v>
      </c>
      <c r="AC30" s="22" t="n">
        <f aca="false">'Services Desk'!F41</f>
        <v>0</v>
      </c>
      <c r="AD30" s="22"/>
      <c r="AE30" s="22" t="n">
        <v>0</v>
      </c>
      <c r="AF30" s="22" t="n">
        <f aca="false">Fundamentals!D41</f>
        <v>0</v>
      </c>
      <c r="AG30" s="22" t="n">
        <f aca="false">Fundamentals!F41</f>
        <v>0</v>
      </c>
      <c r="AI30" s="22" t="n">
        <v>0</v>
      </c>
      <c r="AJ30" s="22" t="n">
        <f aca="false">'Genco Control Area'!D41</f>
        <v>0</v>
      </c>
      <c r="AK30" s="22" t="n">
        <f aca="false">'Genco Control Area'!F41</f>
        <v>0</v>
      </c>
      <c r="AM30" s="22" t="n">
        <v>0</v>
      </c>
      <c r="AN30" s="22" t="n">
        <v>0</v>
      </c>
      <c r="AO30" s="22" t="n">
        <v>0</v>
      </c>
      <c r="AQ30" s="22" t="n">
        <v>0</v>
      </c>
      <c r="AR30" s="22" t="n">
        <v>0</v>
      </c>
      <c r="AS30" s="22" t="n">
        <v>0</v>
      </c>
      <c r="AU30" s="22" t="n">
        <v>1</v>
      </c>
      <c r="AV30" s="22" t="n">
        <f aca="false">'Management Book'!D41</f>
        <v>1</v>
      </c>
      <c r="AW30" s="22" t="n">
        <f aca="false">'Management Book'!F41</f>
        <v>1</v>
      </c>
      <c r="AY30" s="22" t="n">
        <v>0</v>
      </c>
      <c r="AZ30" s="22" t="n">
        <v>0</v>
      </c>
      <c r="BA30" s="22" t="n">
        <v>0</v>
      </c>
    </row>
    <row r="31" customFormat="false" ht="12.75" hidden="false" customHeight="false" outlineLevel="0" collapsed="false">
      <c r="B31" s="32" t="s">
        <v>48</v>
      </c>
      <c r="C31" s="21" t="n">
        <f aca="false">G31+K31+O31+S31+W31+AA31+AE31+AI31+AM31+AQ31+AU31+AY31</f>
        <v>5</v>
      </c>
      <c r="D31" s="22" t="n">
        <f aca="false">H31+L31+P31+T31+X31+AB31+AF31+AJ31+AN31+AR31+AV31+AZ31</f>
        <v>6</v>
      </c>
      <c r="E31" s="23" t="n">
        <f aca="false">I31+M31+Q31+U31+Y31+AC31+AG31+AK31+AO31+AS31+AW31+BA31</f>
        <v>10</v>
      </c>
      <c r="F31" s="33"/>
      <c r="G31" s="22" t="n">
        <v>0</v>
      </c>
      <c r="H31" s="22" t="n">
        <f aca="false">'Midwest Power Trading'!D42</f>
        <v>0</v>
      </c>
      <c r="I31" s="22" t="n">
        <f aca="false">'Midwest Power Trading'!F42</f>
        <v>0</v>
      </c>
      <c r="K31" s="22" t="n">
        <v>0</v>
      </c>
      <c r="L31" s="22" t="n">
        <f aca="false">'Northeast Power Trading'!D42</f>
        <v>1</v>
      </c>
      <c r="M31" s="22" t="n">
        <f aca="false">'Northeast Power Trading'!F42</f>
        <v>1</v>
      </c>
      <c r="N31" s="22"/>
      <c r="O31" s="22" t="n">
        <v>1</v>
      </c>
      <c r="P31" s="22" t="n">
        <f aca="false">'Southeast Power Trading'!D42</f>
        <v>0</v>
      </c>
      <c r="Q31" s="22" t="n">
        <f aca="false">'Southeast Power Trading'!F42</f>
        <v>0</v>
      </c>
      <c r="R31" s="22"/>
      <c r="S31" s="22" t="n">
        <v>0</v>
      </c>
      <c r="T31" s="22" t="n">
        <f aca="false">'Ercot Trading'!D42</f>
        <v>2</v>
      </c>
      <c r="U31" s="22" t="n">
        <f aca="false">'Ercot Trading'!F42</f>
        <v>3</v>
      </c>
      <c r="V31" s="22"/>
      <c r="W31" s="22" t="n">
        <v>0</v>
      </c>
      <c r="X31" s="22" t="n">
        <f aca="false">Options!D42</f>
        <v>0</v>
      </c>
      <c r="Y31" s="22" t="n">
        <f aca="false">Options!F42</f>
        <v>1</v>
      </c>
      <c r="Z31" s="22"/>
      <c r="AA31" s="22" t="n">
        <v>0</v>
      </c>
      <c r="AB31" s="22" t="n">
        <f aca="false">'Services Desk'!D42</f>
        <v>0</v>
      </c>
      <c r="AC31" s="22" t="n">
        <f aca="false">'Services Desk'!F42</f>
        <v>1</v>
      </c>
      <c r="AD31" s="22"/>
      <c r="AE31" s="22" t="n">
        <v>3</v>
      </c>
      <c r="AF31" s="22" t="n">
        <f aca="false">Fundamentals!D42</f>
        <v>0</v>
      </c>
      <c r="AG31" s="22" t="n">
        <f aca="false">Fundamentals!F42</f>
        <v>1</v>
      </c>
      <c r="AI31" s="22" t="n">
        <v>0</v>
      </c>
      <c r="AJ31" s="22" t="n">
        <f aca="false">'Genco Control Area'!D42</f>
        <v>0</v>
      </c>
      <c r="AK31" s="22" t="n">
        <f aca="false">'Genco Control Area'!F42</f>
        <v>0</v>
      </c>
      <c r="AM31" s="22" t="n">
        <v>0</v>
      </c>
      <c r="AN31" s="22" t="n">
        <v>0</v>
      </c>
      <c r="AO31" s="22" t="n">
        <v>0</v>
      </c>
      <c r="AQ31" s="22" t="n">
        <v>0</v>
      </c>
      <c r="AR31" s="22" t="n">
        <v>0</v>
      </c>
      <c r="AS31" s="22" t="n">
        <v>0</v>
      </c>
      <c r="AU31" s="22" t="n">
        <v>0</v>
      </c>
      <c r="AV31" s="22" t="n">
        <f aca="false">'Management Book'!D42</f>
        <v>2</v>
      </c>
      <c r="AW31" s="22" t="n">
        <f aca="false">'Management Book'!F42</f>
        <v>2</v>
      </c>
      <c r="AY31" s="22" t="n">
        <v>1</v>
      </c>
      <c r="AZ31" s="22" t="n">
        <v>1</v>
      </c>
      <c r="BA31" s="22" t="n">
        <v>1</v>
      </c>
    </row>
    <row r="32" customFormat="false" ht="12.75" hidden="false" customHeight="false" outlineLevel="0" collapsed="false">
      <c r="B32" s="32" t="s">
        <v>49</v>
      </c>
      <c r="C32" s="21" t="n">
        <f aca="false">G32+K32+O32+S32+W32+AA32+AE32+AI32+AM32+AQ32+AU32+AY32</f>
        <v>22</v>
      </c>
      <c r="D32" s="22" t="n">
        <f aca="false">H32+L32+P32+T32+X32+AB32+AF32+AJ32+AN32+AR32+AV32+AZ32</f>
        <v>25</v>
      </c>
      <c r="E32" s="23" t="n">
        <f aca="false">I32+M32+Q32+U32+Y32+AC32+AG32+AK32+AO32+AS32+AW32+BA32</f>
        <v>43</v>
      </c>
      <c r="F32" s="33"/>
      <c r="G32" s="22" t="n">
        <v>1</v>
      </c>
      <c r="H32" s="22" t="n">
        <f aca="false">'Midwest Power Trading'!D43</f>
        <v>3</v>
      </c>
      <c r="I32" s="22" t="n">
        <f aca="false">'Midwest Power Trading'!F43</f>
        <v>4</v>
      </c>
      <c r="K32" s="22" t="n">
        <v>7</v>
      </c>
      <c r="L32" s="22" t="n">
        <f aca="false">'Northeast Power Trading'!D43</f>
        <v>3</v>
      </c>
      <c r="M32" s="22" t="n">
        <f aca="false">'Northeast Power Trading'!F43</f>
        <v>6</v>
      </c>
      <c r="N32" s="22"/>
      <c r="O32" s="22" t="n">
        <v>2</v>
      </c>
      <c r="P32" s="22" t="n">
        <f aca="false">'Southeast Power Trading'!D43</f>
        <v>3</v>
      </c>
      <c r="Q32" s="22" t="n">
        <f aca="false">'Southeast Power Trading'!F43</f>
        <v>4</v>
      </c>
      <c r="R32" s="22"/>
      <c r="S32" s="22" t="n">
        <v>3</v>
      </c>
      <c r="T32" s="22" t="n">
        <f aca="false">'Ercot Trading'!D43</f>
        <v>2</v>
      </c>
      <c r="U32" s="22" t="n">
        <f aca="false">'Ercot Trading'!F43</f>
        <v>3</v>
      </c>
      <c r="V32" s="22"/>
      <c r="W32" s="22" t="n">
        <v>0</v>
      </c>
      <c r="X32" s="22" t="n">
        <f aca="false">Options!D43</f>
        <v>2</v>
      </c>
      <c r="Y32" s="22" t="n">
        <f aca="false">Options!F43</f>
        <v>4</v>
      </c>
      <c r="Z32" s="22"/>
      <c r="AA32" s="22" t="n">
        <v>0</v>
      </c>
      <c r="AB32" s="22" t="n">
        <f aca="false">'Services Desk'!D43</f>
        <v>2</v>
      </c>
      <c r="AC32" s="22" t="n">
        <f aca="false">'Services Desk'!F43</f>
        <v>7</v>
      </c>
      <c r="AD32" s="22"/>
      <c r="AE32" s="22" t="n">
        <v>1</v>
      </c>
      <c r="AF32" s="22" t="n">
        <f aca="false">Fundamentals!D43</f>
        <v>3</v>
      </c>
      <c r="AG32" s="22" t="n">
        <f aca="false">Fundamentals!F43</f>
        <v>4</v>
      </c>
      <c r="AI32" s="22" t="n">
        <v>4</v>
      </c>
      <c r="AJ32" s="22" t="n">
        <f aca="false">'Genco Control Area'!D43</f>
        <v>4</v>
      </c>
      <c r="AK32" s="22" t="n">
        <f aca="false">'Genco Control Area'!F43</f>
        <v>5</v>
      </c>
      <c r="AM32" s="22" t="n">
        <v>1</v>
      </c>
      <c r="AN32" s="22" t="n">
        <v>0</v>
      </c>
      <c r="AO32" s="22" t="n">
        <v>0</v>
      </c>
      <c r="AQ32" s="22" t="n">
        <v>0</v>
      </c>
      <c r="AR32" s="22" t="n">
        <v>0</v>
      </c>
      <c r="AS32" s="22" t="n">
        <v>0</v>
      </c>
      <c r="AU32" s="22" t="n">
        <v>2</v>
      </c>
      <c r="AV32" s="22" t="n">
        <f aca="false">'Management Book'!D43</f>
        <v>1</v>
      </c>
      <c r="AW32" s="22" t="n">
        <f aca="false">'Management Book'!F43</f>
        <v>2</v>
      </c>
      <c r="AY32" s="22" t="n">
        <v>1</v>
      </c>
      <c r="AZ32" s="22" t="n">
        <v>2</v>
      </c>
      <c r="BA32" s="22" t="n">
        <v>4</v>
      </c>
    </row>
    <row r="33" customFormat="false" ht="12.75" hidden="false" customHeight="false" outlineLevel="0" collapsed="false">
      <c r="B33" s="32" t="s">
        <v>50</v>
      </c>
      <c r="C33" s="21" t="n">
        <f aca="false">G33+K33+O33+S33+W33+AA33+AE33+AI33+AM33+AQ33+AU33+AY33</f>
        <v>9</v>
      </c>
      <c r="D33" s="22" t="n">
        <f aca="false">H33+L33+P33+T33+X33+AB33+AF33+AJ33+AN33+AR33+AV33+AZ33</f>
        <v>23</v>
      </c>
      <c r="E33" s="23" t="n">
        <f aca="false">I33+M33+Q33+U33+Y33+AC33+AG33+AK33+AO33+AS33+AW33+BA33</f>
        <v>45</v>
      </c>
      <c r="F33" s="33"/>
      <c r="G33" s="22" t="n">
        <v>3</v>
      </c>
      <c r="H33" s="22" t="n">
        <f aca="false">'Midwest Power Trading'!D44</f>
        <v>2</v>
      </c>
      <c r="I33" s="22" t="n">
        <f aca="false">'Midwest Power Trading'!F44</f>
        <v>5</v>
      </c>
      <c r="K33" s="22" t="n">
        <v>4</v>
      </c>
      <c r="L33" s="22" t="n">
        <f aca="false">'Northeast Power Trading'!D44</f>
        <v>3</v>
      </c>
      <c r="M33" s="22" t="n">
        <f aca="false">'Northeast Power Trading'!F44</f>
        <v>11</v>
      </c>
      <c r="N33" s="22"/>
      <c r="O33" s="22" t="n">
        <v>1</v>
      </c>
      <c r="P33" s="22" t="n">
        <f aca="false">'Southeast Power Trading'!D44</f>
        <v>4</v>
      </c>
      <c r="Q33" s="22" t="n">
        <f aca="false">'Southeast Power Trading'!F44</f>
        <v>5</v>
      </c>
      <c r="R33" s="22"/>
      <c r="S33" s="22" t="n">
        <v>1</v>
      </c>
      <c r="T33" s="22" t="n">
        <f aca="false">'Ercot Trading'!D44</f>
        <v>3</v>
      </c>
      <c r="U33" s="22" t="n">
        <f aca="false">'Ercot Trading'!F44</f>
        <v>7</v>
      </c>
      <c r="V33" s="22"/>
      <c r="W33" s="22" t="n">
        <v>0</v>
      </c>
      <c r="X33" s="22" t="n">
        <f aca="false">Options!D44</f>
        <v>0</v>
      </c>
      <c r="Y33" s="22" t="n">
        <f aca="false">Options!F44</f>
        <v>1</v>
      </c>
      <c r="Z33" s="22"/>
      <c r="AA33" s="22" t="n">
        <v>0</v>
      </c>
      <c r="AB33" s="22" t="n">
        <f aca="false">'Services Desk'!D44</f>
        <v>0</v>
      </c>
      <c r="AC33" s="22" t="n">
        <f aca="false">'Services Desk'!F44</f>
        <v>2</v>
      </c>
      <c r="AD33" s="22"/>
      <c r="AE33" s="22" t="n">
        <v>0</v>
      </c>
      <c r="AF33" s="22" t="n">
        <f aca="false">Fundamentals!D44</f>
        <v>10</v>
      </c>
      <c r="AG33" s="22" t="n">
        <f aca="false">Fundamentals!F44</f>
        <v>10</v>
      </c>
      <c r="AI33" s="22" t="n">
        <v>0</v>
      </c>
      <c r="AJ33" s="22" t="n">
        <f aca="false">'Genco Control Area'!D44</f>
        <v>0</v>
      </c>
      <c r="AK33" s="22" t="n">
        <f aca="false">'Genco Control Area'!F44</f>
        <v>3</v>
      </c>
      <c r="AM33" s="22" t="n">
        <v>0</v>
      </c>
      <c r="AN33" s="22" t="n">
        <v>0</v>
      </c>
      <c r="AO33" s="22" t="n">
        <v>0</v>
      </c>
      <c r="AQ33" s="22" t="n">
        <v>0</v>
      </c>
      <c r="AR33" s="22" t="n">
        <v>0</v>
      </c>
      <c r="AS33" s="22" t="n">
        <v>0</v>
      </c>
      <c r="AU33" s="22" t="n">
        <v>0</v>
      </c>
      <c r="AV33" s="22" t="n">
        <f aca="false">'Management Book'!D44</f>
        <v>1</v>
      </c>
      <c r="AW33" s="22" t="n">
        <f aca="false">'Management Book'!F44</f>
        <v>1</v>
      </c>
      <c r="AY33" s="22" t="n">
        <v>0</v>
      </c>
      <c r="AZ33" s="22" t="n">
        <v>0</v>
      </c>
      <c r="BA33" s="22" t="n">
        <v>0</v>
      </c>
    </row>
    <row r="34" customFormat="false" ht="13.5" hidden="false" customHeight="false" outlineLevel="0" collapsed="false">
      <c r="B34" s="32" t="s">
        <v>51</v>
      </c>
      <c r="C34" s="34" t="n">
        <f aca="false">G34+K34+O34+S34+W34+AA34+AE34+AI34+AM34+AQ34+AU34+AY34</f>
        <v>59</v>
      </c>
      <c r="D34" s="35" t="n">
        <f aca="false">H34+L34+P34+T34+X34+AB34+AF34+AJ34+AN34+AR34+AV34+AZ34</f>
        <v>36</v>
      </c>
      <c r="E34" s="36" t="n">
        <f aca="false">I34+M34+Q34+U34+Y34+AC34+AG34+AK34+AO34+AS34+AW34+BA34</f>
        <v>33</v>
      </c>
      <c r="F34" s="33"/>
      <c r="G34" s="35" t="n">
        <v>10</v>
      </c>
      <c r="H34" s="35" t="n">
        <f aca="false">'Midwest Power Trading'!D45</f>
        <v>4</v>
      </c>
      <c r="I34" s="35" t="n">
        <f aca="false">'Midwest Power Trading'!F45</f>
        <v>5</v>
      </c>
      <c r="K34" s="35" t="n">
        <v>9</v>
      </c>
      <c r="L34" s="22" t="n">
        <f aca="false">'Northeast Power Trading'!D45</f>
        <v>7</v>
      </c>
      <c r="M34" s="22" t="n">
        <f aca="false">'Northeast Power Trading'!F45</f>
        <v>4</v>
      </c>
      <c r="N34" s="22"/>
      <c r="O34" s="35" t="n">
        <v>10</v>
      </c>
      <c r="P34" s="35" t="n">
        <f aca="false">'Southeast Power Trading'!D45</f>
        <v>6</v>
      </c>
      <c r="Q34" s="35" t="n">
        <f aca="false">'Southeast Power Trading'!F45</f>
        <v>5</v>
      </c>
      <c r="R34" s="22"/>
      <c r="S34" s="35" t="n">
        <v>3</v>
      </c>
      <c r="T34" s="35" t="n">
        <f aca="false">'Ercot Trading'!D45</f>
        <v>2</v>
      </c>
      <c r="U34" s="35" t="n">
        <f aca="false">'Ercot Trading'!F45</f>
        <v>3</v>
      </c>
      <c r="V34" s="22"/>
      <c r="W34" s="35" t="n">
        <v>0</v>
      </c>
      <c r="X34" s="35" t="n">
        <f aca="false">Options!D45</f>
        <v>0</v>
      </c>
      <c r="Y34" s="35" t="n">
        <f aca="false">Options!F45</f>
        <v>0</v>
      </c>
      <c r="Z34" s="22"/>
      <c r="AA34" s="35" t="n">
        <v>0</v>
      </c>
      <c r="AB34" s="35" t="n">
        <f aca="false">'Services Desk'!D45</f>
        <v>3</v>
      </c>
      <c r="AC34" s="35" t="n">
        <f aca="false">'Services Desk'!F45</f>
        <v>0</v>
      </c>
      <c r="AD34" s="22"/>
      <c r="AE34" s="35" t="n">
        <v>15</v>
      </c>
      <c r="AF34" s="35" t="n">
        <f aca="false">Fundamentals!D45</f>
        <v>5</v>
      </c>
      <c r="AG34" s="35" t="n">
        <f aca="false">Fundamentals!F45</f>
        <v>5</v>
      </c>
      <c r="AI34" s="35" t="n">
        <v>2</v>
      </c>
      <c r="AJ34" s="35" t="n">
        <f aca="false">'Genco Control Area'!D45</f>
        <v>2</v>
      </c>
      <c r="AK34" s="35" t="n">
        <f aca="false">'Genco Control Area'!F45</f>
        <v>3</v>
      </c>
      <c r="AM34" s="35" t="n">
        <v>0</v>
      </c>
      <c r="AN34" s="35" t="n">
        <v>0</v>
      </c>
      <c r="AO34" s="35" t="n">
        <v>0</v>
      </c>
      <c r="AQ34" s="35" t="n">
        <v>0</v>
      </c>
      <c r="AR34" s="35" t="n">
        <v>0</v>
      </c>
      <c r="AS34" s="35" t="n">
        <v>0</v>
      </c>
      <c r="AU34" s="35" t="n">
        <v>6</v>
      </c>
      <c r="AV34" s="35" t="n">
        <f aca="false">'Management Book'!D45</f>
        <v>1</v>
      </c>
      <c r="AW34" s="35" t="n">
        <f aca="false">'Management Book'!F45</f>
        <v>1</v>
      </c>
      <c r="AY34" s="35" t="n">
        <v>4</v>
      </c>
      <c r="AZ34" s="35" t="n">
        <v>6</v>
      </c>
      <c r="BA34" s="35" t="n">
        <v>7</v>
      </c>
    </row>
    <row r="35" customFormat="false" ht="12.75" hidden="false" customHeight="false" outlineLevel="0" collapsed="false">
      <c r="C35" s="16"/>
      <c r="D35" s="17"/>
      <c r="E35" s="18"/>
      <c r="G35" s="1"/>
      <c r="H35" s="1"/>
      <c r="K35" s="37"/>
      <c r="L35" s="37"/>
      <c r="M35" s="37"/>
    </row>
    <row r="36" customFormat="false" ht="17.25" hidden="false" customHeight="false" outlineLevel="0" collapsed="false">
      <c r="A36" s="38"/>
      <c r="B36" s="39" t="s">
        <v>52</v>
      </c>
      <c r="C36" s="40" t="n">
        <f aca="false">SUM(C30:C34)</f>
        <v>98</v>
      </c>
      <c r="D36" s="41" t="n">
        <f aca="false">SUM(D30:D34)</f>
        <v>94</v>
      </c>
      <c r="E36" s="42" t="n">
        <f aca="false">SUM(E30:E34)</f>
        <v>136</v>
      </c>
      <c r="F36" s="38"/>
      <c r="G36" s="43" t="n">
        <f aca="false">SUM(G30:G34)</f>
        <v>15</v>
      </c>
      <c r="H36" s="43" t="n">
        <f aca="false">SUM(H30:H34)</f>
        <v>10</v>
      </c>
      <c r="I36" s="43" t="n">
        <f aca="false">SUM(I30:I34)</f>
        <v>15</v>
      </c>
      <c r="J36" s="38"/>
      <c r="K36" s="43" t="n">
        <f aca="false">SUM(K30:K34)</f>
        <v>21</v>
      </c>
      <c r="L36" s="43" t="n">
        <f aca="false">SUM(L30:L34)</f>
        <v>15</v>
      </c>
      <c r="M36" s="43" t="n">
        <f aca="false">SUM(M30:M34)</f>
        <v>23</v>
      </c>
      <c r="N36" s="38"/>
      <c r="O36" s="43" t="n">
        <f aca="false">SUM(O30:O34)</f>
        <v>14</v>
      </c>
      <c r="P36" s="43" t="n">
        <f aca="false">SUM(P30:P34)</f>
        <v>13</v>
      </c>
      <c r="Q36" s="43" t="n">
        <f aca="false">SUM(Q30:Q34)</f>
        <v>15</v>
      </c>
      <c r="R36" s="38"/>
      <c r="S36" s="43" t="n">
        <f aca="false">SUM(S30:S34)</f>
        <v>7</v>
      </c>
      <c r="T36" s="43" t="n">
        <f aca="false">SUM(T30:T34)</f>
        <v>9</v>
      </c>
      <c r="U36" s="43" t="n">
        <f aca="false">SUM(U30:U34)</f>
        <v>16</v>
      </c>
      <c r="V36" s="38"/>
      <c r="W36" s="43" t="n">
        <f aca="false">SUM(W30:W34)</f>
        <v>0</v>
      </c>
      <c r="X36" s="43" t="n">
        <f aca="false">SUM(X30:X34)</f>
        <v>3</v>
      </c>
      <c r="Y36" s="43" t="n">
        <f aca="false">SUM(Y30:Y34)</f>
        <v>7</v>
      </c>
      <c r="Z36" s="38"/>
      <c r="AA36" s="43" t="n">
        <f aca="false">SUM(AA30:AA34)</f>
        <v>0</v>
      </c>
      <c r="AB36" s="43" t="n">
        <f aca="false">SUM(AB30:AB34)</f>
        <v>5</v>
      </c>
      <c r="AC36" s="43" t="n">
        <f aca="false">SUM(AC30:AC34)</f>
        <v>10</v>
      </c>
      <c r="AD36" s="38"/>
      <c r="AE36" s="43" t="n">
        <f aca="false">SUM(AE30:AE34)</f>
        <v>19</v>
      </c>
      <c r="AF36" s="43" t="n">
        <f aca="false">SUM(AF30:AF34)</f>
        <v>18</v>
      </c>
      <c r="AG36" s="43" t="n">
        <f aca="false">SUM(AG30:AG34)</f>
        <v>20</v>
      </c>
      <c r="AH36" s="38"/>
      <c r="AI36" s="43" t="n">
        <f aca="false">SUM(AI30:AI34)</f>
        <v>6</v>
      </c>
      <c r="AJ36" s="43" t="n">
        <f aca="false">SUM(AJ30:AJ34)</f>
        <v>6</v>
      </c>
      <c r="AK36" s="43" t="n">
        <f aca="false">SUM(AK30:AK34)</f>
        <v>11</v>
      </c>
      <c r="AL36" s="38"/>
      <c r="AM36" s="43" t="n">
        <f aca="false">SUM(AM30:AM34)</f>
        <v>1</v>
      </c>
      <c r="AN36" s="43" t="n">
        <f aca="false">SUM(AN30:AN34)</f>
        <v>0</v>
      </c>
      <c r="AO36" s="43" t="n">
        <f aca="false">SUM(AO30:AO34)</f>
        <v>0</v>
      </c>
      <c r="AP36" s="38"/>
      <c r="AQ36" s="43" t="n">
        <f aca="false">SUM(AQ30:AQ34)</f>
        <v>0</v>
      </c>
      <c r="AR36" s="43" t="n">
        <f aca="false">SUM(AR30:AR34)</f>
        <v>0</v>
      </c>
      <c r="AS36" s="43" t="n">
        <f aca="false">SUM(AS30:AS34)</f>
        <v>0</v>
      </c>
      <c r="AT36" s="38"/>
      <c r="AU36" s="43" t="n">
        <f aca="false">SUM(AU30:AU34)</f>
        <v>9</v>
      </c>
      <c r="AV36" s="43" t="n">
        <f aca="false">SUM(AV30:AV34)</f>
        <v>6</v>
      </c>
      <c r="AW36" s="43" t="n">
        <f aca="false">SUM(AW30:AW34)</f>
        <v>7</v>
      </c>
      <c r="AX36" s="38"/>
      <c r="AY36" s="43" t="n">
        <f aca="false">SUM(AY30:AY34)</f>
        <v>6</v>
      </c>
      <c r="AZ36" s="43" t="n">
        <f aca="false">SUM(AZ30:AZ34)</f>
        <v>9</v>
      </c>
      <c r="BA36" s="43" t="n">
        <f aca="false">SUM(BA30:BA34)</f>
        <v>12</v>
      </c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</row>
    <row r="37" customFormat="false" ht="12.75" hidden="false" customHeight="false" outlineLevel="0" collapsed="false">
      <c r="G37" s="1"/>
      <c r="H37" s="1"/>
    </row>
    <row r="38" customFormat="false" ht="12.75" hidden="false" customHeight="false" outlineLevel="0" collapsed="false">
      <c r="G38" s="1"/>
      <c r="H38" s="1"/>
    </row>
    <row r="39" customFormat="false" ht="12.75" hidden="false" customHeight="false" outlineLevel="0" collapsed="false">
      <c r="G39" s="1"/>
      <c r="H39" s="1"/>
    </row>
    <row r="40" customFormat="false" ht="12.75" hidden="false" customHeight="false" outlineLevel="0" collapsed="false">
      <c r="G40" s="1"/>
      <c r="H40" s="1"/>
    </row>
    <row r="41" customFormat="false" ht="12.75" hidden="false" customHeight="false" outlineLevel="0" collapsed="false">
      <c r="G41" s="1"/>
      <c r="H41" s="1"/>
    </row>
    <row r="42" customFormat="false" ht="12.75" hidden="false" customHeight="false" outlineLevel="0" collapsed="false">
      <c r="G42" s="1"/>
      <c r="H42" s="1"/>
    </row>
    <row r="43" customFormat="false" ht="12.75" hidden="false" customHeight="false" outlineLevel="0" collapsed="false">
      <c r="G43" s="1"/>
      <c r="H43" s="1"/>
    </row>
    <row r="44" customFormat="false" ht="12.75" hidden="false" customHeight="false" outlineLevel="0" collapsed="false">
      <c r="G44" s="1"/>
      <c r="H44" s="1"/>
    </row>
    <row r="45" customFormat="false" ht="12.75" hidden="false" customHeight="false" outlineLevel="0" collapsed="false">
      <c r="G45" s="1"/>
      <c r="H45" s="1"/>
    </row>
    <row r="46" customFormat="false" ht="12.75" hidden="false" customHeight="false" outlineLevel="0" collapsed="false">
      <c r="G46" s="1"/>
      <c r="H46" s="1"/>
    </row>
    <row r="47" customFormat="false" ht="12.75" hidden="false" customHeight="false" outlineLevel="0" collapsed="false">
      <c r="G47" s="1"/>
      <c r="H47" s="1"/>
    </row>
    <row r="48" customFormat="false" ht="12.75" hidden="false" customHeight="false" outlineLevel="0" collapsed="false">
      <c r="G48" s="1"/>
      <c r="H48" s="1"/>
    </row>
    <row r="49" customFormat="false" ht="12.75" hidden="false" customHeight="false" outlineLevel="0" collapsed="false">
      <c r="G49" s="1"/>
      <c r="H49" s="1"/>
    </row>
    <row r="50" customFormat="false" ht="12.75" hidden="false" customHeight="false" outlineLevel="0" collapsed="false">
      <c r="G50" s="1"/>
      <c r="H50" s="1"/>
    </row>
    <row r="51" customFormat="false" ht="12.75" hidden="false" customHeight="false" outlineLevel="0" collapsed="false">
      <c r="G51" s="1"/>
      <c r="H51" s="1"/>
    </row>
    <row r="52" customFormat="false" ht="12.75" hidden="false" customHeight="false" outlineLevel="0" collapsed="false">
      <c r="G52" s="1"/>
      <c r="H52" s="1"/>
    </row>
    <row r="53" customFormat="false" ht="12.75" hidden="false" customHeight="false" outlineLevel="0" collapsed="false">
      <c r="G53" s="1"/>
      <c r="H53" s="1"/>
    </row>
    <row r="54" customFormat="false" ht="12.75" hidden="false" customHeight="false" outlineLevel="0" collapsed="false">
      <c r="G54" s="1"/>
      <c r="H54" s="1"/>
    </row>
    <row r="55" customFormat="false" ht="12.75" hidden="false" customHeight="false" outlineLevel="0" collapsed="false">
      <c r="G55" s="1"/>
      <c r="H55" s="1"/>
    </row>
    <row r="56" customFormat="false" ht="12.75" hidden="false" customHeight="false" outlineLevel="0" collapsed="false">
      <c r="G56" s="1"/>
      <c r="H56" s="1"/>
    </row>
    <row r="57" customFormat="false" ht="12.75" hidden="false" customHeight="false" outlineLevel="0" collapsed="false">
      <c r="G57" s="1"/>
      <c r="H57" s="1"/>
    </row>
    <row r="58" customFormat="false" ht="12.75" hidden="false" customHeight="false" outlineLevel="0" collapsed="false">
      <c r="G58" s="1"/>
      <c r="H58" s="1"/>
    </row>
    <row r="59" customFormat="false" ht="12.75" hidden="false" customHeight="false" outlineLevel="0" collapsed="false">
      <c r="G59" s="1"/>
      <c r="H59" s="1"/>
    </row>
    <row r="60" customFormat="false" ht="12.75" hidden="false" customHeight="false" outlineLevel="0" collapsed="false">
      <c r="G60" s="1"/>
      <c r="H60" s="1"/>
    </row>
    <row r="61" customFormat="false" ht="12.75" hidden="false" customHeight="false" outlineLevel="0" collapsed="false">
      <c r="G61" s="1"/>
      <c r="H61" s="1"/>
    </row>
    <row r="62" customFormat="false" ht="12.75" hidden="false" customHeight="false" outlineLevel="0" collapsed="false">
      <c r="G62" s="1"/>
      <c r="H62" s="1"/>
    </row>
    <row r="63" customFormat="false" ht="12.75" hidden="false" customHeight="false" outlineLevel="0" collapsed="false">
      <c r="G63" s="1"/>
      <c r="H63" s="1"/>
    </row>
    <row r="64" customFormat="false" ht="12.75" hidden="false" customHeight="false" outlineLevel="0" collapsed="false">
      <c r="G64" s="1"/>
      <c r="H64" s="1"/>
    </row>
    <row r="65" customFormat="false" ht="12.75" hidden="false" customHeight="false" outlineLevel="0" collapsed="false">
      <c r="G65" s="1"/>
      <c r="H65" s="1"/>
    </row>
    <row r="66" customFormat="false" ht="12.75" hidden="false" customHeight="false" outlineLevel="0" collapsed="false">
      <c r="G66" s="1"/>
      <c r="H66" s="1"/>
    </row>
    <row r="67" customFormat="false" ht="12.75" hidden="false" customHeight="false" outlineLevel="0" collapsed="false">
      <c r="G67" s="1"/>
      <c r="H67" s="1"/>
    </row>
    <row r="68" customFormat="false" ht="12.75" hidden="false" customHeight="false" outlineLevel="0" collapsed="false">
      <c r="G68" s="1"/>
      <c r="H68" s="1"/>
    </row>
  </sheetData>
  <mergeCells count="13">
    <mergeCell ref="C7:E7"/>
    <mergeCell ref="G7:I7"/>
    <mergeCell ref="K7:M7"/>
    <mergeCell ref="O7:Q7"/>
    <mergeCell ref="S7:U7"/>
    <mergeCell ref="W7:Y7"/>
    <mergeCell ref="AA7:AC7"/>
    <mergeCell ref="AE7:AG7"/>
    <mergeCell ref="AI7:AK7"/>
    <mergeCell ref="AM7:AO7"/>
    <mergeCell ref="AQ7:AS7"/>
    <mergeCell ref="AU7:AW7"/>
    <mergeCell ref="AY7:BA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</row>
    <row r="19" customFormat="false" ht="12.75" hidden="false" customHeight="false" outlineLevel="0" collapsed="false">
      <c r="A19" s="48" t="s">
        <v>19</v>
      </c>
      <c r="B19" s="48"/>
      <c r="C19" s="52"/>
      <c r="D19" s="72" t="n">
        <f aca="false">'Consolidated Power Trad'!AV12</f>
        <v>1084</v>
      </c>
      <c r="E19" s="52"/>
      <c r="F19" s="72" t="n">
        <f aca="false">'Consolidated Power Trad'!AW12</f>
        <v>1092.82579725</v>
      </c>
      <c r="G19" s="52"/>
      <c r="H19" s="60" t="n">
        <f aca="false">F19-D19</f>
        <v>8.82579725000005</v>
      </c>
    </row>
    <row r="20" customFormat="false" ht="12.75" hidden="false" customHeight="false" outlineLevel="0" collapsed="false">
      <c r="A20" s="48" t="s">
        <v>21</v>
      </c>
      <c r="B20" s="48"/>
      <c r="C20" s="52"/>
      <c r="D20" s="72" t="n">
        <f aca="false">'Consolidated Power Trad'!AV13</f>
        <v>137</v>
      </c>
      <c r="E20" s="52"/>
      <c r="F20" s="72" t="n">
        <f aca="false">'Consolidated Power Trad'!AW13</f>
        <v>318.852</v>
      </c>
      <c r="G20" s="52"/>
      <c r="H20" s="60" t="n">
        <f aca="false">F20-D20</f>
        <v>181.852</v>
      </c>
    </row>
    <row r="21" customFormat="false" ht="12.75" hidden="false" customHeight="false" outlineLevel="0" collapsed="false">
      <c r="A21" s="48" t="s">
        <v>66</v>
      </c>
      <c r="B21" s="48"/>
      <c r="C21" s="52"/>
      <c r="D21" s="72" t="n">
        <f aca="false">'Consolidated Power Trad'!AV14</f>
        <v>134</v>
      </c>
      <c r="E21" s="52"/>
      <c r="F21" s="72" t="n">
        <f aca="false">'Consolidated Power Trad'!AW14</f>
        <v>368.004</v>
      </c>
      <c r="G21" s="52"/>
      <c r="H21" s="60" t="n">
        <f aca="false">F21-D21</f>
        <v>234.004</v>
      </c>
    </row>
    <row r="22" customFormat="false" ht="12.75" hidden="false" customHeight="false" outlineLevel="0" collapsed="false">
      <c r="A22" s="48" t="s">
        <v>25</v>
      </c>
      <c r="B22" s="48"/>
      <c r="C22" s="52"/>
      <c r="D22" s="72" t="n">
        <f aca="false">'Consolidated Power Trad'!AV15</f>
        <v>649</v>
      </c>
      <c r="E22" s="52"/>
      <c r="F22" s="72" t="n">
        <f aca="false">'Consolidated Power Trad'!AW15</f>
        <v>265</v>
      </c>
      <c r="G22" s="52"/>
      <c r="H22" s="60" t="n">
        <f aca="false">F22-D22</f>
        <v>-384</v>
      </c>
    </row>
    <row r="23" customFormat="false" ht="12.75" hidden="false" customHeight="false" outlineLevel="0" collapsed="false">
      <c r="A23" s="48" t="s">
        <v>27</v>
      </c>
      <c r="B23" s="48"/>
      <c r="C23" s="55"/>
      <c r="D23" s="72" t="n">
        <f aca="false">'Consolidated Power Trad'!AV16</f>
        <v>459</v>
      </c>
      <c r="E23" s="55"/>
      <c r="F23" s="72" t="n">
        <f aca="false">'Consolidated Power Trad'!AW16</f>
        <v>576</v>
      </c>
      <c r="G23" s="55"/>
      <c r="H23" s="60" t="n">
        <f aca="false">F23-D23</f>
        <v>117</v>
      </c>
    </row>
    <row r="24" customFormat="false" ht="12.75" hidden="false" customHeight="false" outlineLevel="0" collapsed="false">
      <c r="A24" s="48" t="s">
        <v>29</v>
      </c>
      <c r="B24" s="48"/>
      <c r="C24" s="52"/>
      <c r="D24" s="72" t="n">
        <f aca="false">'Consolidated Power Trad'!AV17</f>
        <v>1396</v>
      </c>
      <c r="E24" s="52"/>
      <c r="F24" s="72" t="n">
        <f aca="false">'Consolidated Power Trad'!AW17</f>
        <v>1395.996</v>
      </c>
      <c r="G24" s="52"/>
      <c r="H24" s="60" t="n">
        <f aca="false">F24-D24</f>
        <v>-0.00399999999990541</v>
      </c>
    </row>
    <row r="25" customFormat="false" ht="12.75" hidden="false" customHeight="false" outlineLevel="0" collapsed="false">
      <c r="A25" s="48" t="s">
        <v>31</v>
      </c>
      <c r="B25" s="48"/>
      <c r="D25" s="72" t="n">
        <f aca="false">'Consolidated Power Trad'!AV18</f>
        <v>2582</v>
      </c>
      <c r="F25" s="72" t="n">
        <f aca="false">'Consolidated Power Trad'!AW18</f>
        <v>7752</v>
      </c>
      <c r="H25" s="60" t="n">
        <f aca="false">F25-D25</f>
        <v>5170</v>
      </c>
    </row>
    <row r="26" customFormat="false" ht="12.75" hidden="false" customHeight="false" outlineLevel="0" collapsed="false">
      <c r="A26" s="48" t="s">
        <v>33</v>
      </c>
      <c r="B26" s="48"/>
      <c r="D26" s="72" t="n">
        <f aca="false">'Consolidated Power Trad'!AV19</f>
        <v>0</v>
      </c>
      <c r="F26" s="72" t="n">
        <f aca="false">'Consolidated Power Trad'!AW19</f>
        <v>0</v>
      </c>
      <c r="H26" s="60" t="n">
        <f aca="false">F26-D26</f>
        <v>0</v>
      </c>
    </row>
    <row r="27" customFormat="false" ht="12.75" hidden="false" customHeight="false" outlineLevel="0" collapsed="false">
      <c r="A27" s="57" t="s">
        <v>67</v>
      </c>
      <c r="B27" s="48"/>
      <c r="D27" s="72" t="n">
        <f aca="false">'Consolidated Power Trad'!AV20</f>
        <v>0</v>
      </c>
      <c r="F27" s="72" t="n">
        <f aca="false">'Consolidated Power Trad'!AW20</f>
        <v>144</v>
      </c>
      <c r="H27" s="60" t="n">
        <f aca="false">F27-D27</f>
        <v>144</v>
      </c>
    </row>
    <row r="28" customFormat="false" ht="12.75" hidden="false" customHeight="false" outlineLevel="0" collapsed="false">
      <c r="A28" s="48" t="s">
        <v>68</v>
      </c>
      <c r="B28" s="48"/>
      <c r="D28" s="72" t="n">
        <f aca="false">'Consolidated Power Trad'!AV21</f>
        <v>1402</v>
      </c>
      <c r="F28" s="72" t="n">
        <f aca="false">'Consolidated Power Trad'!AW21</f>
        <v>870.216</v>
      </c>
      <c r="H28" s="60" t="n">
        <f aca="false">F28-D28</f>
        <v>-531.784</v>
      </c>
    </row>
    <row r="29" customFormat="false" ht="12.75" hidden="false" customHeight="false" outlineLevel="0" collapsed="false">
      <c r="A29" s="48" t="s">
        <v>39</v>
      </c>
      <c r="B29" s="48"/>
      <c r="D29" s="72" t="n">
        <f aca="false">'Consolidated Power Trad'!AV22</f>
        <v>60</v>
      </c>
      <c r="F29" s="72" t="n">
        <f aca="false">'Consolidated Power Trad'!AW22</f>
        <v>97.512</v>
      </c>
      <c r="H29" s="60" t="n">
        <f aca="false">F29-D29</f>
        <v>37.512</v>
      </c>
    </row>
    <row r="30" customFormat="false" ht="12.75" hidden="false" customHeight="false" outlineLevel="0" collapsed="false">
      <c r="A30" s="48" t="s">
        <v>41</v>
      </c>
      <c r="B30" s="48"/>
      <c r="D30" s="72" t="n">
        <f aca="false">'Consolidated Power Trad'!AV23</f>
        <v>0</v>
      </c>
      <c r="F30" s="72" t="n">
        <f aca="false">'Consolidated Power Trad'!AW23</f>
        <v>0</v>
      </c>
      <c r="H30" s="60" t="n">
        <f aca="false">F30-D30</f>
        <v>0</v>
      </c>
    </row>
    <row r="31" customFormat="false" ht="12.75" hidden="false" customHeight="false" outlineLevel="0" collapsed="false">
      <c r="A31" s="48" t="s">
        <v>43</v>
      </c>
      <c r="B31" s="48"/>
      <c r="D31" s="74" t="n">
        <f aca="false">'Consolidated Power Trad'!AV24</f>
        <v>28</v>
      </c>
      <c r="F31" s="74" t="n">
        <f aca="false">'Consolidated Power Trad'!AW24</f>
        <v>35.94</v>
      </c>
      <c r="H31" s="67" t="n">
        <f aca="false">F31-D31</f>
        <v>7.94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</f>
        <v>7931</v>
      </c>
      <c r="E33" s="55" t="s">
        <v>57</v>
      </c>
      <c r="F33" s="67" t="n">
        <f aca="false">SUM(F17:F31)</f>
        <v>12916.34579725</v>
      </c>
      <c r="G33" s="55" t="s">
        <v>57</v>
      </c>
      <c r="H33" s="67" t="n">
        <f aca="false">SUM(H17:H31)</f>
        <v>4985.34579725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-7931</v>
      </c>
      <c r="E37" s="55" t="s">
        <v>57</v>
      </c>
      <c r="F37" s="71" t="n">
        <f aca="false">F17-F33-F35</f>
        <v>-12916.34579725</v>
      </c>
      <c r="G37" s="55" t="s">
        <v>57</v>
      </c>
      <c r="H37" s="71" t="n">
        <f aca="false">H17-H33-H35</f>
        <v>-4985.34579725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v>1</v>
      </c>
      <c r="F41" s="72" t="n">
        <v>1</v>
      </c>
      <c r="H41" s="60" t="n">
        <f aca="false">F41-D41</f>
        <v>0</v>
      </c>
    </row>
    <row r="42" customFormat="false" ht="12.75" hidden="false" customHeight="false" outlineLevel="0" collapsed="false">
      <c r="A42" s="48" t="s">
        <v>72</v>
      </c>
      <c r="B42" s="48"/>
      <c r="D42" s="72" t="n">
        <v>2</v>
      </c>
      <c r="F42" s="72" t="n">
        <v>2</v>
      </c>
      <c r="H42" s="60" t="n">
        <f aca="false">F42-D42</f>
        <v>0</v>
      </c>
    </row>
    <row r="43" customFormat="false" ht="12.75" hidden="false" customHeight="false" outlineLevel="0" collapsed="false">
      <c r="A43" s="48" t="s">
        <v>49</v>
      </c>
      <c r="B43" s="48"/>
      <c r="D43" s="72" t="n">
        <v>1</v>
      </c>
      <c r="F43" s="72" t="n">
        <v>2</v>
      </c>
      <c r="H43" s="60" t="n">
        <f aca="false">F43-D43</f>
        <v>1</v>
      </c>
    </row>
    <row r="44" customFormat="false" ht="12.75" hidden="false" customHeight="false" outlineLevel="0" collapsed="false">
      <c r="A44" s="48" t="s">
        <v>73</v>
      </c>
      <c r="B44" s="48"/>
      <c r="D44" s="72" t="n">
        <v>1</v>
      </c>
      <c r="F44" s="72" t="n">
        <v>1</v>
      </c>
      <c r="H44" s="60" t="n">
        <f aca="false">F44-D44</f>
        <v>0</v>
      </c>
    </row>
    <row r="45" customFormat="false" ht="12.75" hidden="false" customHeight="false" outlineLevel="0" collapsed="false">
      <c r="A45" s="48" t="s">
        <v>74</v>
      </c>
      <c r="B45" s="48"/>
      <c r="D45" s="74" t="n">
        <v>1</v>
      </c>
      <c r="F45" s="74" t="n">
        <v>1</v>
      </c>
      <c r="H45" s="67" t="n">
        <f aca="false">F45-D45</f>
        <v>0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SUM(D41:D45)</f>
        <v>6</v>
      </c>
      <c r="E47" s="68"/>
      <c r="F47" s="77" t="n">
        <f aca="false">SUM(F41:F45)</f>
        <v>7</v>
      </c>
      <c r="G47" s="68"/>
      <c r="H47" s="77" t="n">
        <f aca="false">SUM(H41:H45)</f>
        <v>1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304.525399607143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-1845.19225675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45" activeCellId="0" sqref="H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</row>
    <row r="19" customFormat="false" ht="12.75" hidden="false" customHeight="false" outlineLevel="0" collapsed="false">
      <c r="A19" s="48" t="s">
        <v>19</v>
      </c>
      <c r="B19" s="48"/>
      <c r="C19" s="52"/>
      <c r="D19" s="72" t="n">
        <f aca="false">'Consolidated Power Trad'!AZ12</f>
        <v>907</v>
      </c>
      <c r="E19" s="52"/>
      <c r="F19" s="72" t="n">
        <f aca="false">'Consolidated Power Trad'!BA12</f>
        <v>1294.59759</v>
      </c>
      <c r="G19" s="52"/>
      <c r="H19" s="62" t="n">
        <f aca="false">(F19-D19)*-1</f>
        <v>-387.59759</v>
      </c>
      <c r="K19" s="0" t="n">
        <v>-1</v>
      </c>
    </row>
    <row r="20" customFormat="false" ht="12.75" hidden="false" customHeight="false" outlineLevel="0" collapsed="false">
      <c r="A20" s="48" t="s">
        <v>21</v>
      </c>
      <c r="B20" s="48"/>
      <c r="C20" s="52"/>
      <c r="D20" s="72" t="n">
        <f aca="false">'Consolidated Power Trad'!AZ13</f>
        <v>124</v>
      </c>
      <c r="E20" s="52"/>
      <c r="F20" s="72" t="n">
        <f aca="false">'Consolidated Power Trad'!BA13</f>
        <v>21.6</v>
      </c>
      <c r="G20" s="52"/>
      <c r="H20" s="62" t="n">
        <f aca="false">(F20-D20)*-1</f>
        <v>102.4</v>
      </c>
    </row>
    <row r="21" customFormat="false" ht="12.75" hidden="false" customHeight="false" outlineLevel="0" collapsed="false">
      <c r="A21" s="48" t="s">
        <v>66</v>
      </c>
      <c r="B21" s="48"/>
      <c r="C21" s="52"/>
      <c r="D21" s="72" t="n">
        <f aca="false">'Consolidated Power Trad'!AZ14</f>
        <v>356</v>
      </c>
      <c r="E21" s="52"/>
      <c r="F21" s="72" t="n">
        <f aca="false">'Consolidated Power Trad'!BA14</f>
        <v>340</v>
      </c>
      <c r="G21" s="52"/>
      <c r="H21" s="62" t="n">
        <f aca="false">(F21-D21)*-1</f>
        <v>16</v>
      </c>
    </row>
    <row r="22" customFormat="false" ht="12.75" hidden="false" customHeight="false" outlineLevel="0" collapsed="false">
      <c r="A22" s="48" t="s">
        <v>25</v>
      </c>
      <c r="B22" s="48"/>
      <c r="C22" s="52"/>
      <c r="D22" s="72" t="n">
        <f aca="false">'Consolidated Power Trad'!AZ15</f>
        <v>941</v>
      </c>
      <c r="E22" s="52"/>
      <c r="F22" s="72" t="n">
        <f aca="false">'Consolidated Power Trad'!BA15</f>
        <v>1143.2</v>
      </c>
      <c r="G22" s="52"/>
      <c r="H22" s="62" t="n">
        <f aca="false">(F22-D22)*-1</f>
        <v>-202.2</v>
      </c>
    </row>
    <row r="23" customFormat="false" ht="12.75" hidden="false" customHeight="false" outlineLevel="0" collapsed="false">
      <c r="A23" s="48" t="s">
        <v>27</v>
      </c>
      <c r="B23" s="48"/>
      <c r="C23" s="55"/>
      <c r="D23" s="72" t="n">
        <f aca="false">'Consolidated Power Trad'!AZ16</f>
        <v>527</v>
      </c>
      <c r="E23" s="52"/>
      <c r="F23" s="72" t="n">
        <f aca="false">'Consolidated Power Trad'!BA16</f>
        <v>429.8</v>
      </c>
      <c r="G23" s="55"/>
      <c r="H23" s="62" t="n">
        <f aca="false">(F23-D23)*-1</f>
        <v>97.2</v>
      </c>
    </row>
    <row r="24" customFormat="false" ht="12.75" hidden="false" customHeight="false" outlineLevel="0" collapsed="false">
      <c r="A24" s="48" t="s">
        <v>29</v>
      </c>
      <c r="B24" s="48"/>
      <c r="C24" s="52"/>
      <c r="D24" s="72" t="n">
        <f aca="false">'Consolidated Power Trad'!AZ17</f>
        <v>0</v>
      </c>
      <c r="E24" s="52"/>
      <c r="F24" s="72" t="n">
        <f aca="false">'Consolidated Power Trad'!BA17</f>
        <v>0</v>
      </c>
      <c r="G24" s="52"/>
      <c r="H24" s="62" t="n">
        <f aca="false">(F24-D24)*-1</f>
        <v>-0</v>
      </c>
    </row>
    <row r="25" customFormat="false" ht="12.75" hidden="false" customHeight="false" outlineLevel="0" collapsed="false">
      <c r="A25" s="48" t="s">
        <v>31</v>
      </c>
      <c r="B25" s="48"/>
      <c r="D25" s="72" t="n">
        <f aca="false">'Consolidated Power Trad'!AZ18</f>
        <v>0</v>
      </c>
      <c r="E25" s="52"/>
      <c r="F25" s="72" t="n">
        <f aca="false">'Consolidated Power Trad'!BA18</f>
        <v>0</v>
      </c>
      <c r="H25" s="62" t="n">
        <f aca="false">(F25-D25)*-1</f>
        <v>-0</v>
      </c>
    </row>
    <row r="26" customFormat="false" ht="12.75" hidden="false" customHeight="false" outlineLevel="0" collapsed="false">
      <c r="A26" s="48" t="s">
        <v>33</v>
      </c>
      <c r="B26" s="48"/>
      <c r="D26" s="72" t="n">
        <f aca="false">'Consolidated Power Trad'!AZ19</f>
        <v>0</v>
      </c>
      <c r="E26" s="52"/>
      <c r="F26" s="72" t="n">
        <f aca="false">'Consolidated Power Trad'!BA19</f>
        <v>0</v>
      </c>
      <c r="H26" s="62" t="n">
        <f aca="false">(F26-D26)*-1</f>
        <v>-0</v>
      </c>
    </row>
    <row r="27" customFormat="false" ht="12.75" hidden="false" customHeight="false" outlineLevel="0" collapsed="false">
      <c r="A27" s="57" t="s">
        <v>67</v>
      </c>
      <c r="B27" s="48"/>
      <c r="D27" s="72" t="n">
        <f aca="false">'Consolidated Power Trad'!AZ20</f>
        <v>0</v>
      </c>
      <c r="E27" s="52"/>
      <c r="F27" s="72" t="n">
        <f aca="false">'Consolidated Power Trad'!BA20</f>
        <v>0</v>
      </c>
      <c r="H27" s="62" t="n">
        <f aca="false">(F27-D27)*-1</f>
        <v>-0</v>
      </c>
    </row>
    <row r="28" customFormat="false" ht="12.75" hidden="false" customHeight="false" outlineLevel="0" collapsed="false">
      <c r="A28" s="48" t="s">
        <v>68</v>
      </c>
      <c r="B28" s="48"/>
      <c r="D28" s="72" t="n">
        <f aca="false">'Consolidated Power Trad'!AZ21</f>
        <v>379</v>
      </c>
      <c r="E28" s="52"/>
      <c r="F28" s="72" t="n">
        <f aca="false">'Consolidated Power Trad'!BA21</f>
        <v>250</v>
      </c>
      <c r="H28" s="62" t="n">
        <f aca="false">(F28-D28)*-1</f>
        <v>129</v>
      </c>
    </row>
    <row r="29" customFormat="false" ht="12.75" hidden="false" customHeight="false" outlineLevel="0" collapsed="false">
      <c r="A29" s="48" t="s">
        <v>39</v>
      </c>
      <c r="B29" s="48"/>
      <c r="D29" s="72" t="n">
        <f aca="false">'Consolidated Power Trad'!AZ22</f>
        <v>40</v>
      </c>
      <c r="E29" s="52"/>
      <c r="F29" s="72" t="n">
        <f aca="false">'Consolidated Power Trad'!BA22</f>
        <v>86.496</v>
      </c>
      <c r="H29" s="62" t="n">
        <f aca="false">(F29-D29)*-1</f>
        <v>-46.496</v>
      </c>
    </row>
    <row r="30" customFormat="false" ht="12.75" hidden="false" customHeight="false" outlineLevel="0" collapsed="false">
      <c r="A30" s="48" t="s">
        <v>41</v>
      </c>
      <c r="B30" s="48"/>
      <c r="D30" s="72" t="n">
        <f aca="false">'Consolidated Power Trad'!AZ23</f>
        <v>0</v>
      </c>
      <c r="E30" s="52"/>
      <c r="F30" s="72" t="n">
        <f aca="false">'Consolidated Power Trad'!BA23</f>
        <v>0</v>
      </c>
      <c r="H30" s="62" t="n">
        <f aca="false">(F30-D30)*-1</f>
        <v>-0</v>
      </c>
    </row>
    <row r="31" customFormat="false" ht="12.75" hidden="false" customHeight="false" outlineLevel="0" collapsed="false">
      <c r="A31" s="48" t="s">
        <v>43</v>
      </c>
      <c r="B31" s="48"/>
      <c r="D31" s="74" t="n">
        <f aca="false">'Consolidated Power Trad'!AZ24</f>
        <v>0</v>
      </c>
      <c r="E31" s="52"/>
      <c r="F31" s="74" t="n">
        <f aca="false">'Consolidated Power Trad'!BA24</f>
        <v>0</v>
      </c>
      <c r="H31" s="66" t="n">
        <f aca="false">(F31-D31)*-1</f>
        <v>-0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</f>
        <v>3274</v>
      </c>
      <c r="E33" s="55" t="s">
        <v>57</v>
      </c>
      <c r="F33" s="67" t="n">
        <f aca="false">SUM(F17:F31)</f>
        <v>3565.69359</v>
      </c>
      <c r="G33" s="55" t="s">
        <v>57</v>
      </c>
      <c r="H33" s="67" t="n">
        <f aca="false">SUM(H17:H31)</f>
        <v>-291.69359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-3274</v>
      </c>
      <c r="E37" s="55" t="s">
        <v>57</v>
      </c>
      <c r="F37" s="71" t="n">
        <f aca="false">F17-F33-F35</f>
        <v>-3565.69359</v>
      </c>
      <c r="G37" s="55" t="s">
        <v>57</v>
      </c>
      <c r="H37" s="71" t="n">
        <f aca="false">H17-H33-H35</f>
        <v>291.69359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f aca="false">'Consolidated Power Trad'!AZ30</f>
        <v>0</v>
      </c>
      <c r="E41" s="52"/>
      <c r="F41" s="72" t="n">
        <f aca="false">'Consolidated Power Trad'!BA30</f>
        <v>0</v>
      </c>
      <c r="H41" s="62" t="n">
        <f aca="false">(F41-D41)*-1</f>
        <v>-0</v>
      </c>
    </row>
    <row r="42" customFormat="false" ht="12.75" hidden="false" customHeight="false" outlineLevel="0" collapsed="false">
      <c r="A42" s="48" t="s">
        <v>72</v>
      </c>
      <c r="B42" s="48"/>
      <c r="D42" s="72" t="n">
        <f aca="false">'Consolidated Power Trad'!AZ31</f>
        <v>1</v>
      </c>
      <c r="E42" s="52"/>
      <c r="F42" s="72" t="n">
        <f aca="false">'Consolidated Power Trad'!BA31</f>
        <v>1</v>
      </c>
      <c r="H42" s="62" t="n">
        <f aca="false">(F42-D42)*-1</f>
        <v>-0</v>
      </c>
    </row>
    <row r="43" customFormat="false" ht="12.75" hidden="false" customHeight="false" outlineLevel="0" collapsed="false">
      <c r="A43" s="48" t="s">
        <v>49</v>
      </c>
      <c r="B43" s="48"/>
      <c r="D43" s="72" t="n">
        <f aca="false">'Consolidated Power Trad'!AZ32</f>
        <v>2</v>
      </c>
      <c r="E43" s="52"/>
      <c r="F43" s="72" t="n">
        <f aca="false">'Consolidated Power Trad'!BA32</f>
        <v>4</v>
      </c>
      <c r="H43" s="62" t="n">
        <f aca="false">(F43-D43)*-1</f>
        <v>-2</v>
      </c>
    </row>
    <row r="44" customFormat="false" ht="12.75" hidden="false" customHeight="false" outlineLevel="0" collapsed="false">
      <c r="A44" s="48" t="s">
        <v>73</v>
      </c>
      <c r="B44" s="48"/>
      <c r="D44" s="72" t="n">
        <f aca="false">'Consolidated Power Trad'!AZ33</f>
        <v>0</v>
      </c>
      <c r="E44" s="52"/>
      <c r="F44" s="72" t="n">
        <f aca="false">'Consolidated Power Trad'!BA33</f>
        <v>0</v>
      </c>
      <c r="H44" s="62" t="n">
        <f aca="false">(F44-D44)*-1</f>
        <v>-0</v>
      </c>
    </row>
    <row r="45" customFormat="false" ht="12.75" hidden="false" customHeight="false" outlineLevel="0" collapsed="false">
      <c r="A45" s="48" t="s">
        <v>74</v>
      </c>
      <c r="B45" s="48"/>
      <c r="D45" s="74" t="n">
        <f aca="false">'Consolidated Power Trad'!AZ34</f>
        <v>6</v>
      </c>
      <c r="E45" s="52"/>
      <c r="F45" s="74" t="n">
        <f aca="false">'Consolidated Power Trad'!BA34</f>
        <v>7</v>
      </c>
      <c r="H45" s="66" t="n">
        <f aca="false">(F45-D45)*-1</f>
        <v>-1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SUM(D41:D45)</f>
        <v>9</v>
      </c>
      <c r="E47" s="68"/>
      <c r="F47" s="77" t="n">
        <f aca="false">SUM(F41:F45)</f>
        <v>12</v>
      </c>
      <c r="G47" s="68"/>
      <c r="H47" s="77" t="n">
        <f aca="false">SUM(H41:H45)</f>
        <v>-3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145.499799166667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-297.1411325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A11" colorId="64" zoomScale="75" zoomScaleNormal="75" zoomScalePageLayoutView="100" workbookViewId="0">
      <selection pane="topLeft" activeCell="F49" activeCellId="0" sqref="F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</row>
    <row r="19" customFormat="false" ht="12.75" hidden="false" customHeight="false" outlineLevel="0" collapsed="false">
      <c r="A19" s="48" t="s">
        <v>19</v>
      </c>
      <c r="B19" s="48"/>
      <c r="C19" s="52"/>
      <c r="D19" s="33" t="n">
        <f aca="false">(1223357-246432-60000)/1000</f>
        <v>916.925</v>
      </c>
      <c r="E19" s="61"/>
      <c r="F19" s="33" t="n">
        <f aca="false">([4]Data!$P$31+[4]Data!$P$34)/1000</f>
        <v>1295.688139625</v>
      </c>
      <c r="G19" s="52"/>
      <c r="H19" s="62" t="n">
        <f aca="false">(F19-D19)*-1</f>
        <v>-378.763139625</v>
      </c>
      <c r="L19" s="0" t="n">
        <v>1000</v>
      </c>
    </row>
    <row r="20" customFormat="false" ht="12.75" hidden="false" customHeight="false" outlineLevel="0" collapsed="false">
      <c r="A20" s="48" t="s">
        <v>21</v>
      </c>
      <c r="B20" s="48"/>
      <c r="C20" s="52"/>
      <c r="D20" s="33" t="n">
        <f aca="false">(10614+1128+1000+55060+6000)/1000</f>
        <v>73.802</v>
      </c>
      <c r="E20" s="61"/>
      <c r="F20" s="33" t="n">
        <f aca="false">([4]Data!$P$43)/1000</f>
        <v>166.056</v>
      </c>
      <c r="G20" s="52"/>
      <c r="H20" s="62" t="n">
        <f aca="false">(F20-D20)*-1</f>
        <v>-92.254</v>
      </c>
    </row>
    <row r="21" customFormat="false" ht="12.75" hidden="false" customHeight="false" outlineLevel="0" collapsed="false">
      <c r="A21" s="48" t="s">
        <v>66</v>
      </c>
      <c r="B21" s="48"/>
      <c r="C21" s="52"/>
      <c r="D21" s="33" t="n">
        <f aca="false">(67322+4230)/1000</f>
        <v>71.552</v>
      </c>
      <c r="E21" s="61"/>
      <c r="F21" s="33" t="n">
        <f aca="false">([4]Data!$P$50)/1000</f>
        <v>184.016</v>
      </c>
      <c r="G21" s="52"/>
      <c r="H21" s="62" t="n">
        <f aca="false">(F21-D21)*-1</f>
        <v>-112.464</v>
      </c>
      <c r="L21" s="0" t="n">
        <v>-1</v>
      </c>
    </row>
    <row r="22" customFormat="false" ht="12.75" hidden="false" customHeight="false" outlineLevel="0" collapsed="false">
      <c r="A22" s="48" t="s">
        <v>25</v>
      </c>
      <c r="B22" s="48"/>
      <c r="C22" s="52"/>
      <c r="D22" s="33" t="n">
        <v>3</v>
      </c>
      <c r="E22" s="61"/>
      <c r="F22" s="33" t="n">
        <f aca="false">([4]Data!$P$62)/1000</f>
        <v>11.052</v>
      </c>
      <c r="G22" s="52"/>
      <c r="H22" s="62" t="n">
        <f aca="false">(F22-D22)*-1</f>
        <v>-8.052</v>
      </c>
    </row>
    <row r="23" customFormat="false" ht="12.75" hidden="false" customHeight="false" outlineLevel="0" collapsed="false">
      <c r="A23" s="48" t="s">
        <v>27</v>
      </c>
      <c r="B23" s="48"/>
      <c r="C23" s="55"/>
      <c r="D23" s="33" t="n">
        <f aca="false">(38532+57816+26076)/1000</f>
        <v>122.424</v>
      </c>
      <c r="E23" s="63"/>
      <c r="F23" s="33" t="n">
        <f aca="false">([4]Data!$P$66+[4]Data!$P$73+[4]Data!$P$78)/1000</f>
        <v>159.064</v>
      </c>
      <c r="G23" s="55"/>
      <c r="H23" s="62" t="n">
        <f aca="false">(F23-D23)*-1</f>
        <v>-36.64</v>
      </c>
    </row>
    <row r="24" customFormat="false" ht="12.75" hidden="false" customHeight="false" outlineLevel="0" collapsed="false">
      <c r="A24" s="48" t="s">
        <v>29</v>
      </c>
      <c r="B24" s="48"/>
      <c r="C24" s="52"/>
      <c r="D24" s="33" t="n">
        <f aca="false">(669+13128+669+13128)/1000</f>
        <v>27.594</v>
      </c>
      <c r="E24" s="61"/>
      <c r="F24" s="33" t="n">
        <f aca="false">([4]Data!$P$80)/1000</f>
        <v>33.096</v>
      </c>
      <c r="G24" s="52"/>
      <c r="H24" s="62" t="n">
        <f aca="false">(F24-D24-0.2)*-1</f>
        <v>-5.302</v>
      </c>
    </row>
    <row r="25" customFormat="false" ht="12.75" hidden="false" customHeight="false" outlineLevel="0" collapsed="false">
      <c r="A25" s="48" t="s">
        <v>31</v>
      </c>
      <c r="B25" s="48"/>
      <c r="D25" s="33" t="n">
        <v>0</v>
      </c>
      <c r="E25" s="64"/>
      <c r="F25" s="33" t="n">
        <v>0</v>
      </c>
      <c r="H25" s="62" t="n">
        <f aca="false">(F25-D25)*-1</f>
        <v>-0</v>
      </c>
    </row>
    <row r="26" customFormat="false" ht="12.75" hidden="false" customHeight="false" outlineLevel="0" collapsed="false">
      <c r="A26" s="48" t="s">
        <v>33</v>
      </c>
      <c r="B26" s="48"/>
      <c r="D26" s="33" t="n">
        <v>0</v>
      </c>
      <c r="E26" s="64"/>
      <c r="F26" s="33" t="n">
        <v>0</v>
      </c>
      <c r="H26" s="62" t="n">
        <f aca="false">(F26-D26)*-1</f>
        <v>-0</v>
      </c>
    </row>
    <row r="27" customFormat="false" ht="12.75" hidden="false" customHeight="false" outlineLevel="0" collapsed="false">
      <c r="A27" s="57" t="s">
        <v>67</v>
      </c>
      <c r="B27" s="48"/>
      <c r="D27" s="33" t="n">
        <v>432</v>
      </c>
      <c r="E27" s="64"/>
      <c r="F27" s="33" t="n">
        <f aca="false">([4]Data!$P$74)/1000</f>
        <v>561.6</v>
      </c>
      <c r="H27" s="62" t="n">
        <f aca="false">(F27-D27)*-1</f>
        <v>-129.6</v>
      </c>
    </row>
    <row r="28" customFormat="false" ht="12.75" hidden="false" customHeight="false" outlineLevel="0" collapsed="false">
      <c r="A28" s="48" t="s">
        <v>68</v>
      </c>
      <c r="B28" s="48"/>
      <c r="D28" s="33" t="n">
        <f aca="false">(114+79896-15558-47965)/1000</f>
        <v>16.487</v>
      </c>
      <c r="E28" s="64"/>
      <c r="F28" s="33" t="n">
        <f aca="false">([4]Data!$P$71+[4]Data!$P$53+[4]Data!$P$85)/1000</f>
        <v>17.4</v>
      </c>
      <c r="H28" s="62" t="n">
        <f aca="false">(F28-D28)*-1</f>
        <v>-0.913</v>
      </c>
    </row>
    <row r="29" customFormat="false" ht="12.75" hidden="false" customHeight="false" outlineLevel="0" collapsed="false">
      <c r="A29" s="48" t="s">
        <v>39</v>
      </c>
      <c r="B29" s="48"/>
      <c r="D29" s="33" t="n">
        <v>2.256</v>
      </c>
      <c r="E29" s="64"/>
      <c r="F29" s="33" t="n">
        <v>0</v>
      </c>
      <c r="H29" s="62" t="n">
        <f aca="false">(F29-D29)*-1</f>
        <v>2.256</v>
      </c>
    </row>
    <row r="30" customFormat="false" ht="12.75" hidden="false" customHeight="false" outlineLevel="0" collapsed="false">
      <c r="A30" s="48" t="s">
        <v>41</v>
      </c>
      <c r="B30" s="48"/>
      <c r="D30" s="33" t="n">
        <v>0</v>
      </c>
      <c r="E30" s="64"/>
      <c r="F30" s="33" t="n">
        <v>0</v>
      </c>
      <c r="H30" s="62" t="n">
        <f aca="false">(F30-D30)*-1</f>
        <v>-0</v>
      </c>
    </row>
    <row r="31" customFormat="false" ht="12.75" hidden="false" customHeight="false" outlineLevel="0" collapsed="false">
      <c r="A31" s="48" t="s">
        <v>43</v>
      </c>
      <c r="B31" s="48"/>
      <c r="D31" s="65" t="n">
        <v>4.506</v>
      </c>
      <c r="E31" s="64"/>
      <c r="F31" s="65" t="n">
        <v>0</v>
      </c>
      <c r="H31" s="66" t="n">
        <f aca="false">(F31-D31)*-1</f>
        <v>4.506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</f>
        <v>1670.546</v>
      </c>
      <c r="E33" s="55" t="s">
        <v>57</v>
      </c>
      <c r="F33" s="67" t="n">
        <f aca="false">SUM(F17:F31)</f>
        <v>2427.972139625</v>
      </c>
      <c r="G33" s="55" t="s">
        <v>57</v>
      </c>
      <c r="H33" s="67" t="n">
        <f aca="false">SUM(H17:H31)</f>
        <v>-757.226139625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-1670.546</v>
      </c>
      <c r="E37" s="55" t="s">
        <v>57</v>
      </c>
      <c r="F37" s="71" t="n">
        <f aca="false">F17-F33-F35</f>
        <v>-2427.972139625</v>
      </c>
      <c r="G37" s="55" t="s">
        <v>57</v>
      </c>
      <c r="H37" s="71" t="n">
        <f aca="false">H17-H33-H35</f>
        <v>757.226139625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v>1</v>
      </c>
      <c r="F41" s="72" t="n">
        <v>1</v>
      </c>
      <c r="H41" s="62" t="n">
        <f aca="false">(F41-D41)*-1</f>
        <v>-0</v>
      </c>
    </row>
    <row r="42" customFormat="false" ht="12.75" hidden="false" customHeight="false" outlineLevel="0" collapsed="false">
      <c r="A42" s="48" t="s">
        <v>72</v>
      </c>
      <c r="B42" s="48"/>
      <c r="D42" s="72" t="n">
        <v>0</v>
      </c>
      <c r="F42" s="72" t="n">
        <v>0</v>
      </c>
      <c r="H42" s="62" t="n">
        <f aca="false">(F42-D42)*-1</f>
        <v>-0</v>
      </c>
    </row>
    <row r="43" customFormat="false" ht="12.75" hidden="false" customHeight="false" outlineLevel="0" collapsed="false">
      <c r="A43" s="48" t="s">
        <v>49</v>
      </c>
      <c r="B43" s="48"/>
      <c r="D43" s="72" t="n">
        <v>3</v>
      </c>
      <c r="F43" s="72" t="n">
        <v>4</v>
      </c>
      <c r="H43" s="62" t="n">
        <f aca="false">(F43-D43)*-1</f>
        <v>-1</v>
      </c>
    </row>
    <row r="44" customFormat="false" ht="12.75" hidden="false" customHeight="false" outlineLevel="0" collapsed="false">
      <c r="A44" s="48" t="s">
        <v>73</v>
      </c>
      <c r="B44" s="48"/>
      <c r="D44" s="72" t="n">
        <v>2</v>
      </c>
      <c r="F44" s="72" t="n">
        <v>5</v>
      </c>
      <c r="H44" s="62" t="n">
        <f aca="false">(F44-D44)*-1</f>
        <v>-3</v>
      </c>
    </row>
    <row r="45" customFormat="false" ht="12.75" hidden="false" customHeight="false" outlineLevel="0" collapsed="false">
      <c r="A45" s="48" t="s">
        <v>74</v>
      </c>
      <c r="B45" s="48"/>
      <c r="D45" s="74" t="n">
        <v>4</v>
      </c>
      <c r="F45" s="74" t="n">
        <v>5</v>
      </c>
      <c r="H45" s="66" t="n">
        <f aca="false">(F45-D45)*-1</f>
        <v>-1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SUM(D41:D46)</f>
        <v>10</v>
      </c>
      <c r="E47" s="68"/>
      <c r="F47" s="77" t="n">
        <f aca="false">SUM(F41:F46)</f>
        <v>15</v>
      </c>
      <c r="G47" s="68"/>
      <c r="H47" s="77" t="n">
        <f aca="false">SUM(H41:H46)</f>
        <v>-5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145.493875975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-161.864809308333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false" showOutlineSymbols="true" defaultGridColor="true" view="normal" topLeftCell="A14" colorId="64" zoomScale="75" zoomScaleNormal="75" zoomScalePageLayoutView="100" workbookViewId="0">
      <selection pane="topLeft" activeCell="H48" activeCellId="0" sqref="H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  <c r="L18" s="0" t="n">
        <v>1000</v>
      </c>
    </row>
    <row r="19" customFormat="false" ht="12.75" hidden="false" customHeight="false" outlineLevel="0" collapsed="false">
      <c r="A19" s="48" t="s">
        <v>19</v>
      </c>
      <c r="B19" s="48"/>
      <c r="C19" s="52"/>
      <c r="D19" s="33" t="n">
        <f aca="false">(2423196-281940)/1000</f>
        <v>2141.256</v>
      </c>
      <c r="E19" s="61"/>
      <c r="F19" s="33" t="n">
        <f aca="false">([5]Data!$P$31+[5]Data!$P$34)/1000</f>
        <v>1681.866124125</v>
      </c>
      <c r="G19" s="52"/>
      <c r="H19" s="62" t="n">
        <f aca="false">(F19-D19)*-1</f>
        <v>459.389875875</v>
      </c>
    </row>
    <row r="20" customFormat="false" ht="12.75" hidden="false" customHeight="false" outlineLevel="0" collapsed="false">
      <c r="A20" s="48" t="s">
        <v>21</v>
      </c>
      <c r="B20" s="48"/>
      <c r="C20" s="52"/>
      <c r="D20" s="33" t="n">
        <f aca="false">(16350+1752+2150+70924+3000)/1000</f>
        <v>94.176</v>
      </c>
      <c r="E20" s="61"/>
      <c r="F20" s="33" t="n">
        <f aca="false">([5]Data!$P$43)/1000</f>
        <v>205.876</v>
      </c>
      <c r="G20" s="52"/>
      <c r="H20" s="62" t="n">
        <f aca="false">(F20-D20)*-1</f>
        <v>-111.7</v>
      </c>
    </row>
    <row r="21" customFormat="false" ht="12.75" hidden="false" customHeight="false" outlineLevel="0" collapsed="false">
      <c r="A21" s="48" t="s">
        <v>66</v>
      </c>
      <c r="B21" s="48"/>
      <c r="C21" s="52"/>
      <c r="D21" s="33" t="n">
        <f aca="false">(123997+2889)/1000</f>
        <v>126.886</v>
      </c>
      <c r="E21" s="61"/>
      <c r="F21" s="33" t="n">
        <f aca="false">([5]Data!$P$50)/1000</f>
        <v>273.976</v>
      </c>
      <c r="G21" s="52"/>
      <c r="H21" s="62" t="n">
        <f aca="false">(F21-D21)*-1</f>
        <v>-147.09</v>
      </c>
    </row>
    <row r="22" customFormat="false" ht="12.75" hidden="false" customHeight="false" outlineLevel="0" collapsed="false">
      <c r="A22" s="48" t="s">
        <v>25</v>
      </c>
      <c r="B22" s="48"/>
      <c r="C22" s="52"/>
      <c r="D22" s="33" t="n">
        <v>4.998</v>
      </c>
      <c r="E22" s="61"/>
      <c r="F22" s="33" t="n">
        <f aca="false">([5]Data!$P$62+[5]Data!$P$70)/1000</f>
        <v>0</v>
      </c>
      <c r="G22" s="52"/>
      <c r="H22" s="62" t="n">
        <f aca="false">(F22-D22)*-1</f>
        <v>4.998</v>
      </c>
      <c r="L22" s="0" t="n">
        <v>-1</v>
      </c>
    </row>
    <row r="23" customFormat="false" ht="12.75" hidden="false" customHeight="false" outlineLevel="0" collapsed="false">
      <c r="A23" s="48" t="s">
        <v>27</v>
      </c>
      <c r="B23" s="48"/>
      <c r="C23" s="55"/>
      <c r="D23" s="33" t="n">
        <f aca="false">(44989+84219+51923)/1000-0.5</f>
        <v>180.631</v>
      </c>
      <c r="E23" s="63"/>
      <c r="F23" s="33" t="n">
        <f aca="false">([5]Data!$P$66+[5]Data!$P$73+[5]Data!$P$78+[5]Data!$P$69)/1000</f>
        <v>212.58</v>
      </c>
      <c r="G23" s="55"/>
      <c r="H23" s="62" t="n">
        <f aca="false">(F23-D23)*-1</f>
        <v>-31.949</v>
      </c>
    </row>
    <row r="24" customFormat="false" ht="12.75" hidden="false" customHeight="false" outlineLevel="0" collapsed="false">
      <c r="A24" s="48" t="s">
        <v>29</v>
      </c>
      <c r="B24" s="48"/>
      <c r="C24" s="52"/>
      <c r="D24" s="33" t="n">
        <f aca="false">(55998+38188)/1000</f>
        <v>94.186</v>
      </c>
      <c r="E24" s="61"/>
      <c r="F24" s="33" t="n">
        <f aca="false">([5]Data!$P$80)/1000</f>
        <v>90.024</v>
      </c>
      <c r="G24" s="52"/>
      <c r="H24" s="62" t="n">
        <f aca="false">(F24-D24)*-1</f>
        <v>4.16200000000001</v>
      </c>
    </row>
    <row r="25" customFormat="false" ht="12.75" hidden="false" customHeight="false" outlineLevel="0" collapsed="false">
      <c r="A25" s="48" t="s">
        <v>31</v>
      </c>
      <c r="B25" s="48"/>
      <c r="D25" s="33" t="n">
        <v>0</v>
      </c>
      <c r="E25" s="64"/>
      <c r="F25" s="33" t="n">
        <v>0</v>
      </c>
      <c r="H25" s="62" t="n">
        <f aca="false">(F25-D25)*-1</f>
        <v>-0</v>
      </c>
    </row>
    <row r="26" customFormat="false" ht="12.75" hidden="false" customHeight="false" outlineLevel="0" collapsed="false">
      <c r="A26" s="48" t="s">
        <v>33</v>
      </c>
      <c r="B26" s="48"/>
      <c r="D26" s="33" t="n">
        <v>0</v>
      </c>
      <c r="E26" s="64"/>
      <c r="F26" s="33" t="n">
        <v>0</v>
      </c>
      <c r="H26" s="62" t="n">
        <f aca="false">(F26-D26)*-1</f>
        <v>-0</v>
      </c>
    </row>
    <row r="27" customFormat="false" ht="12.75" hidden="false" customHeight="false" outlineLevel="0" collapsed="false">
      <c r="A27" s="57" t="s">
        <v>67</v>
      </c>
      <c r="B27" s="48"/>
      <c r="D27" s="33" t="n">
        <v>355.2</v>
      </c>
      <c r="E27" s="64"/>
      <c r="F27" s="33" t="n">
        <f aca="false">([5]Data!$P$74)/1000</f>
        <v>1386</v>
      </c>
      <c r="H27" s="62" t="n">
        <f aca="false">(F27-D27)*-1</f>
        <v>-1030.8</v>
      </c>
    </row>
    <row r="28" customFormat="false" ht="12.75" hidden="false" customHeight="false" outlineLevel="0" collapsed="false">
      <c r="A28" s="48" t="s">
        <v>68</v>
      </c>
      <c r="B28" s="48"/>
      <c r="D28" s="33" t="n">
        <f aca="false">(169+85336-36630-20800-13026)/1000</f>
        <v>15.049</v>
      </c>
      <c r="E28" s="64"/>
      <c r="F28" s="33" t="n">
        <f aca="false">([5]Data!$P$53+[5]Data!$P$71+[5]Data!$P$85)/1000</f>
        <v>0</v>
      </c>
      <c r="H28" s="62" t="n">
        <f aca="false">(F28-D28)*-1</f>
        <v>15.049</v>
      </c>
    </row>
    <row r="29" customFormat="false" ht="12.75" hidden="false" customHeight="false" outlineLevel="0" collapsed="false">
      <c r="A29" s="48" t="s">
        <v>39</v>
      </c>
      <c r="B29" s="48"/>
      <c r="D29" s="33" t="n">
        <v>71.051</v>
      </c>
      <c r="E29" s="64"/>
      <c r="F29" s="33" t="n">
        <f aca="false">([5]Data!$P$75)/1000</f>
        <v>197.76</v>
      </c>
      <c r="H29" s="62" t="n">
        <f aca="false">(F29-D29)*-1</f>
        <v>-126.709</v>
      </c>
    </row>
    <row r="30" customFormat="false" ht="12.75" hidden="false" customHeight="false" outlineLevel="0" collapsed="false">
      <c r="A30" s="48" t="s">
        <v>41</v>
      </c>
      <c r="B30" s="48"/>
      <c r="D30" s="33" t="n">
        <v>0</v>
      </c>
      <c r="E30" s="64"/>
      <c r="F30" s="33" t="n">
        <v>0</v>
      </c>
      <c r="H30" s="62" t="n">
        <f aca="false">(F30-D30)*-1</f>
        <v>-0</v>
      </c>
    </row>
    <row r="31" customFormat="false" ht="12.75" hidden="false" customHeight="false" outlineLevel="0" collapsed="false">
      <c r="A31" s="48" t="s">
        <v>43</v>
      </c>
      <c r="B31" s="48"/>
      <c r="D31" s="65" t="n">
        <v>0</v>
      </c>
      <c r="E31" s="64"/>
      <c r="F31" s="65" t="n">
        <v>0</v>
      </c>
      <c r="H31" s="66" t="n">
        <f aca="false">(F31-D31)*-1</f>
        <v>-0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</f>
        <v>3083.433</v>
      </c>
      <c r="E33" s="55" t="s">
        <v>57</v>
      </c>
      <c r="F33" s="67" t="n">
        <f aca="false">SUM(F17:F31)</f>
        <v>4048.082124125</v>
      </c>
      <c r="G33" s="55" t="s">
        <v>57</v>
      </c>
      <c r="H33" s="67" t="n">
        <f aca="false">SUM(H17:H31)-0.4</f>
        <v>-965.049124125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-3083.433</v>
      </c>
      <c r="E37" s="55" t="s">
        <v>57</v>
      </c>
      <c r="F37" s="71" t="n">
        <f aca="false">F17-F33-F35</f>
        <v>-4048.082124125</v>
      </c>
      <c r="G37" s="55" t="s">
        <v>57</v>
      </c>
      <c r="H37" s="71" t="n">
        <f aca="false">H17-H33-H35</f>
        <v>965.049124125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v>1</v>
      </c>
      <c r="F41" s="72" t="n">
        <v>1</v>
      </c>
      <c r="H41" s="62" t="n">
        <f aca="false">(F41-D41)*-1</f>
        <v>-0</v>
      </c>
    </row>
    <row r="42" customFormat="false" ht="12.75" hidden="false" customHeight="false" outlineLevel="0" collapsed="false">
      <c r="A42" s="48" t="s">
        <v>72</v>
      </c>
      <c r="B42" s="48"/>
      <c r="D42" s="72" t="n">
        <v>1</v>
      </c>
      <c r="F42" s="72" t="n">
        <v>1</v>
      </c>
      <c r="H42" s="62" t="n">
        <f aca="false">(F42-D42)*-1</f>
        <v>-0</v>
      </c>
    </row>
    <row r="43" customFormat="false" ht="12.75" hidden="false" customHeight="false" outlineLevel="0" collapsed="false">
      <c r="A43" s="48" t="s">
        <v>49</v>
      </c>
      <c r="B43" s="48"/>
      <c r="D43" s="72" t="n">
        <v>3</v>
      </c>
      <c r="F43" s="72" t="n">
        <v>6</v>
      </c>
      <c r="H43" s="62" t="n">
        <f aca="false">(F43-D43)*-1</f>
        <v>-3</v>
      </c>
    </row>
    <row r="44" customFormat="false" ht="12.75" hidden="false" customHeight="false" outlineLevel="0" collapsed="false">
      <c r="A44" s="48" t="s">
        <v>73</v>
      </c>
      <c r="B44" s="48"/>
      <c r="D44" s="72" t="n">
        <v>3</v>
      </c>
      <c r="F44" s="72" t="n">
        <v>11</v>
      </c>
      <c r="H44" s="62" t="n">
        <f aca="false">(F44-D44)*-1</f>
        <v>-8</v>
      </c>
    </row>
    <row r="45" customFormat="false" ht="12.75" hidden="false" customHeight="false" outlineLevel="0" collapsed="false">
      <c r="A45" s="48" t="s">
        <v>74</v>
      </c>
      <c r="B45" s="48"/>
      <c r="D45" s="74" t="n">
        <v>7</v>
      </c>
      <c r="F45" s="74" t="n">
        <v>4</v>
      </c>
      <c r="H45" s="66" t="n">
        <f aca="false">(F45-D45)*-1</f>
        <v>3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SUM(D41:D45)</f>
        <v>15</v>
      </c>
      <c r="E47" s="68"/>
      <c r="F47" s="77" t="n">
        <f aca="false">SUM(F41:F45)</f>
        <v>23</v>
      </c>
      <c r="G47" s="68"/>
      <c r="H47" s="77" t="n">
        <f aca="false">SUM(H41:H45)</f>
        <v>-8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151.579222788043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-176.00357061413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F49" activeCellId="0" sqref="F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</row>
    <row r="19" customFormat="false" ht="12.75" hidden="false" customHeight="false" outlineLevel="0" collapsed="false">
      <c r="A19" s="48" t="s">
        <v>19</v>
      </c>
      <c r="B19" s="48"/>
      <c r="C19" s="52"/>
      <c r="D19" s="33" t="n">
        <v>916.925</v>
      </c>
      <c r="E19" s="52"/>
      <c r="F19" s="72" t="n">
        <f aca="false">'Midwest Power Trading'!F19</f>
        <v>1295.688139625</v>
      </c>
      <c r="G19" s="52"/>
      <c r="H19" s="62" t="n">
        <f aca="false">(F19-D19)*-1</f>
        <v>-378.763139625</v>
      </c>
      <c r="K19" s="0" t="n">
        <v>1000</v>
      </c>
    </row>
    <row r="20" customFormat="false" ht="12.75" hidden="false" customHeight="false" outlineLevel="0" collapsed="false">
      <c r="A20" s="48" t="s">
        <v>21</v>
      </c>
      <c r="B20" s="48"/>
      <c r="C20" s="52"/>
      <c r="D20" s="33" t="n">
        <f aca="false">(9339+1002+790+31631+37480)/1000</f>
        <v>80.242</v>
      </c>
      <c r="E20" s="52"/>
      <c r="F20" s="72" t="n">
        <f aca="false">'Midwest Power Trading'!F20</f>
        <v>166.056</v>
      </c>
      <c r="G20" s="52"/>
      <c r="H20" s="62" t="n">
        <f aca="false">(F20-D20)*-1</f>
        <v>-85.814</v>
      </c>
    </row>
    <row r="21" customFormat="false" ht="12.75" hidden="false" customHeight="false" outlineLevel="0" collapsed="false">
      <c r="A21" s="48" t="s">
        <v>66</v>
      </c>
      <c r="B21" s="48"/>
      <c r="C21" s="52"/>
      <c r="D21" s="33" t="n">
        <f aca="false">(82160+9746)/1000</f>
        <v>91.906</v>
      </c>
      <c r="E21" s="52"/>
      <c r="F21" s="72" t="n">
        <f aca="false">'Midwest Power Trading'!F21</f>
        <v>184.016</v>
      </c>
      <c r="G21" s="52"/>
      <c r="H21" s="62" t="n">
        <f aca="false">(F21-D21)*-1</f>
        <v>-92.11</v>
      </c>
    </row>
    <row r="22" customFormat="false" ht="12.75" hidden="false" customHeight="false" outlineLevel="0" collapsed="false">
      <c r="A22" s="48" t="s">
        <v>25</v>
      </c>
      <c r="B22" s="48"/>
      <c r="C22" s="52"/>
      <c r="D22" s="33" t="n">
        <f aca="false">(31750)/1000</f>
        <v>31.75</v>
      </c>
      <c r="E22" s="52"/>
      <c r="F22" s="72" t="n">
        <f aca="false">'Midwest Power Trading'!F22</f>
        <v>11.052</v>
      </c>
      <c r="G22" s="52"/>
      <c r="H22" s="62" t="n">
        <f aca="false">(F22-D22)*-1</f>
        <v>20.698</v>
      </c>
      <c r="K22" s="0" t="n">
        <v>-1</v>
      </c>
    </row>
    <row r="23" customFormat="false" ht="12.75" hidden="false" customHeight="false" outlineLevel="0" collapsed="false">
      <c r="A23" s="48" t="s">
        <v>27</v>
      </c>
      <c r="B23" s="48"/>
      <c r="C23" s="55"/>
      <c r="D23" s="33" t="n">
        <f aca="false">(39583+62167+40668)/1000</f>
        <v>142.418</v>
      </c>
      <c r="E23" s="55"/>
      <c r="F23" s="72" t="n">
        <f aca="false">'Midwest Power Trading'!F23</f>
        <v>159.064</v>
      </c>
      <c r="G23" s="55"/>
      <c r="H23" s="62" t="n">
        <f aca="false">(F23-D23)*-1</f>
        <v>-16.646</v>
      </c>
    </row>
    <row r="24" customFormat="false" ht="12.75" hidden="false" customHeight="false" outlineLevel="0" collapsed="false">
      <c r="A24" s="48" t="s">
        <v>29</v>
      </c>
      <c r="B24" s="48"/>
      <c r="C24" s="52"/>
      <c r="D24" s="33" t="n">
        <f aca="false">(16791+16749)/1000</f>
        <v>33.54</v>
      </c>
      <c r="E24" s="52"/>
      <c r="F24" s="72" t="n">
        <f aca="false">'Midwest Power Trading'!F24</f>
        <v>33.096</v>
      </c>
      <c r="G24" s="52"/>
      <c r="H24" s="62" t="n">
        <f aca="false">(F24-D24-0.5)*-1</f>
        <v>0.944000000000003</v>
      </c>
    </row>
    <row r="25" customFormat="false" ht="12.75" hidden="false" customHeight="false" outlineLevel="0" collapsed="false">
      <c r="A25" s="48" t="s">
        <v>31</v>
      </c>
      <c r="B25" s="48"/>
      <c r="D25" s="33" t="n">
        <v>0</v>
      </c>
      <c r="F25" s="72" t="n">
        <f aca="false">'Midwest Power Trading'!F25</f>
        <v>0</v>
      </c>
      <c r="H25" s="62" t="n">
        <f aca="false">(F25-D25)*-1</f>
        <v>-0</v>
      </c>
    </row>
    <row r="26" customFormat="false" ht="12.75" hidden="false" customHeight="false" outlineLevel="0" collapsed="false">
      <c r="A26" s="48" t="s">
        <v>33</v>
      </c>
      <c r="B26" s="48"/>
      <c r="D26" s="33" t="n">
        <v>0</v>
      </c>
      <c r="F26" s="72" t="n">
        <f aca="false">'Midwest Power Trading'!F26</f>
        <v>0</v>
      </c>
      <c r="H26" s="62" t="n">
        <f aca="false">(F26-D26)*-1</f>
        <v>-0</v>
      </c>
    </row>
    <row r="27" customFormat="false" ht="12.75" hidden="false" customHeight="false" outlineLevel="0" collapsed="false">
      <c r="A27" s="57" t="s">
        <v>67</v>
      </c>
      <c r="B27" s="48"/>
      <c r="D27" s="33" t="n">
        <f aca="false">(124800+76800)/1000</f>
        <v>201.6</v>
      </c>
      <c r="F27" s="72" t="n">
        <f aca="false">'Midwest Power Trading'!F27</f>
        <v>561.6</v>
      </c>
      <c r="H27" s="62" t="n">
        <f aca="false">(F27-D27)*-1</f>
        <v>-360</v>
      </c>
    </row>
    <row r="28" customFormat="false" ht="12.75" hidden="false" customHeight="false" outlineLevel="0" collapsed="false">
      <c r="A28" s="48" t="s">
        <v>68</v>
      </c>
      <c r="B28" s="48"/>
      <c r="D28" s="33" t="n">
        <f aca="false">(111+35094-16800-15192)/1000</f>
        <v>3.213</v>
      </c>
      <c r="F28" s="72" t="n">
        <f aca="false">'Midwest Power Trading'!F28</f>
        <v>17.4</v>
      </c>
      <c r="H28" s="62" t="n">
        <f aca="false">(F28-D28)*-1</f>
        <v>-14.187</v>
      </c>
    </row>
    <row r="29" customFormat="false" ht="12.75" hidden="false" customHeight="false" outlineLevel="0" collapsed="false">
      <c r="A29" s="48" t="s">
        <v>39</v>
      </c>
      <c r="B29" s="48"/>
      <c r="D29" s="33" t="n">
        <v>0</v>
      </c>
      <c r="F29" s="72" t="n">
        <v>58</v>
      </c>
      <c r="H29" s="62" t="n">
        <f aca="false">(F29-D29)*-1</f>
        <v>-58</v>
      </c>
    </row>
    <row r="30" customFormat="false" ht="12.75" hidden="false" customHeight="false" outlineLevel="0" collapsed="false">
      <c r="A30" s="48" t="s">
        <v>41</v>
      </c>
      <c r="B30" s="48"/>
      <c r="D30" s="33" t="n">
        <v>0</v>
      </c>
      <c r="F30" s="72" t="n">
        <f aca="false">'Midwest Power Trading'!F30</f>
        <v>0</v>
      </c>
      <c r="H30" s="62" t="n">
        <f aca="false">(F30-D30)*-1</f>
        <v>-0</v>
      </c>
    </row>
    <row r="31" customFormat="false" ht="12.75" hidden="false" customHeight="false" outlineLevel="0" collapsed="false">
      <c r="A31" s="48" t="s">
        <v>43</v>
      </c>
      <c r="B31" s="48"/>
      <c r="D31" s="65" t="n">
        <v>0</v>
      </c>
      <c r="F31" s="74" t="n">
        <f aca="false">'Midwest Power Trading'!F31</f>
        <v>0</v>
      </c>
      <c r="H31" s="66" t="n">
        <f aca="false">(F31-D31)*-1</f>
        <v>-0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</f>
        <v>1501.594</v>
      </c>
      <c r="E33" s="55" t="s">
        <v>57</v>
      </c>
      <c r="F33" s="67" t="n">
        <f aca="false">SUM(F17:F31)</f>
        <v>2485.972139625</v>
      </c>
      <c r="G33" s="55" t="s">
        <v>57</v>
      </c>
      <c r="H33" s="67" t="n">
        <f aca="false">SUM(H17:H31)</f>
        <v>-983.878139625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-1501.594</v>
      </c>
      <c r="E37" s="55" t="s">
        <v>57</v>
      </c>
      <c r="F37" s="71" t="n">
        <f aca="false">F17-F33-F35</f>
        <v>-2485.972139625</v>
      </c>
      <c r="G37" s="55" t="s">
        <v>57</v>
      </c>
      <c r="H37" s="71" t="n">
        <f aca="false">H17-H33-H35</f>
        <v>983.878139625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v>0</v>
      </c>
      <c r="F41" s="72" t="n">
        <f aca="false">'Midwest Power Trading'!F41</f>
        <v>1</v>
      </c>
      <c r="H41" s="62" t="n">
        <f aca="false">(F41-D41)*-1</f>
        <v>-1</v>
      </c>
    </row>
    <row r="42" customFormat="false" ht="12.75" hidden="false" customHeight="false" outlineLevel="0" collapsed="false">
      <c r="A42" s="48" t="s">
        <v>72</v>
      </c>
      <c r="B42" s="48"/>
      <c r="D42" s="72" t="n">
        <v>0</v>
      </c>
      <c r="F42" s="72" t="n">
        <f aca="false">'Midwest Power Trading'!F42</f>
        <v>0</v>
      </c>
      <c r="H42" s="62" t="n">
        <f aca="false">(F42-D42)*-1</f>
        <v>-0</v>
      </c>
    </row>
    <row r="43" customFormat="false" ht="12.75" hidden="false" customHeight="false" outlineLevel="0" collapsed="false">
      <c r="A43" s="48" t="s">
        <v>49</v>
      </c>
      <c r="B43" s="48"/>
      <c r="D43" s="72" t="n">
        <v>3</v>
      </c>
      <c r="F43" s="72" t="n">
        <v>4</v>
      </c>
      <c r="H43" s="62" t="n">
        <f aca="false">(F43-D43)*-1</f>
        <v>-1</v>
      </c>
    </row>
    <row r="44" customFormat="false" ht="12.75" hidden="false" customHeight="false" outlineLevel="0" collapsed="false">
      <c r="A44" s="48" t="s">
        <v>73</v>
      </c>
      <c r="B44" s="48"/>
      <c r="D44" s="72" t="n">
        <v>4</v>
      </c>
      <c r="F44" s="72" t="n">
        <f aca="false">'Midwest Power Trading'!F44</f>
        <v>5</v>
      </c>
      <c r="H44" s="62" t="n">
        <f aca="false">(F44-D44)*-1</f>
        <v>-1</v>
      </c>
    </row>
    <row r="45" customFormat="false" ht="12.75" hidden="false" customHeight="false" outlineLevel="0" collapsed="false">
      <c r="A45" s="48" t="s">
        <v>74</v>
      </c>
      <c r="B45" s="48"/>
      <c r="D45" s="74" t="n">
        <v>6</v>
      </c>
      <c r="F45" s="74" t="n">
        <f aca="false">'Midwest Power Trading'!F45</f>
        <v>5</v>
      </c>
      <c r="H45" s="62" t="n">
        <f aca="false">(F45-D45)*-1</f>
        <v>1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SUM(D41:D45)</f>
        <v>13</v>
      </c>
      <c r="E47" s="68"/>
      <c r="F47" s="77" t="n">
        <f aca="false">SUM(F41:F45)</f>
        <v>15</v>
      </c>
      <c r="G47" s="68"/>
      <c r="H47" s="77" t="n">
        <f aca="false">SUM(H41:H45)</f>
        <v>-2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145.493875975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-165.731475975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4" colorId="64" zoomScale="75" zoomScaleNormal="75" zoomScalePageLayoutView="100" workbookViewId="0">
      <selection pane="topLeft" activeCell="F49" activeCellId="0" sqref="F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</row>
    <row r="19" customFormat="false" ht="12.75" hidden="false" customHeight="false" outlineLevel="0" collapsed="false">
      <c r="A19" s="48" t="s">
        <v>19</v>
      </c>
      <c r="B19" s="48"/>
      <c r="C19" s="52"/>
      <c r="D19" s="33" t="n">
        <f aca="false">(846430-53340)/1000</f>
        <v>793.09</v>
      </c>
      <c r="E19" s="61"/>
      <c r="F19" s="33" t="n">
        <f aca="false">([6]Data!$P$31+[6]Data!$P$34)/1000</f>
        <v>1118.746633125</v>
      </c>
      <c r="G19" s="52"/>
      <c r="H19" s="62" t="n">
        <f aca="false">(F19-D19)*-1</f>
        <v>-325.656633125</v>
      </c>
      <c r="K19" s="0" t="n">
        <v>1000</v>
      </c>
    </row>
    <row r="20" customFormat="false" ht="12.75" hidden="false" customHeight="false" outlineLevel="0" collapsed="false">
      <c r="A20" s="48" t="s">
        <v>21</v>
      </c>
      <c r="B20" s="48"/>
      <c r="C20" s="52"/>
      <c r="D20" s="33" t="n">
        <f aca="false">(3941+498+875+12438+17332)/1000</f>
        <v>35.084</v>
      </c>
      <c r="E20" s="61"/>
      <c r="F20" s="33" t="n">
        <f aca="false">([6]Data!$P$43)/1000</f>
        <v>57.504</v>
      </c>
      <c r="G20" s="52"/>
      <c r="H20" s="62" t="n">
        <f aca="false">(F20-D20+0.53)*-1</f>
        <v>-22.95</v>
      </c>
    </row>
    <row r="21" customFormat="false" ht="12.75" hidden="false" customHeight="false" outlineLevel="0" collapsed="false">
      <c r="A21" s="48" t="s">
        <v>66</v>
      </c>
      <c r="B21" s="48"/>
      <c r="C21" s="52"/>
      <c r="D21" s="33" t="n">
        <f aca="false">(28856+3456)/1000</f>
        <v>32.312</v>
      </c>
      <c r="E21" s="61"/>
      <c r="F21" s="33" t="n">
        <f aca="false">([6]Data!$P$50)/1000</f>
        <v>57</v>
      </c>
      <c r="G21" s="52"/>
      <c r="H21" s="62" t="n">
        <f aca="false">(F21-D21)*-1</f>
        <v>-24.688</v>
      </c>
    </row>
    <row r="22" customFormat="false" ht="12.75" hidden="false" customHeight="false" outlineLevel="0" collapsed="false">
      <c r="A22" s="48" t="s">
        <v>25</v>
      </c>
      <c r="B22" s="48"/>
      <c r="C22" s="52"/>
      <c r="D22" s="33" t="n">
        <v>0</v>
      </c>
      <c r="E22" s="61"/>
      <c r="F22" s="33" t="n">
        <f aca="false">([6]Data!$P$62+[6]Data!$P$70)/1000</f>
        <v>500.004</v>
      </c>
      <c r="G22" s="52"/>
      <c r="H22" s="62" t="n">
        <f aca="false">(F22-D22)*-1</f>
        <v>-500.004</v>
      </c>
      <c r="K22" s="0" t="n">
        <v>-1</v>
      </c>
    </row>
    <row r="23" customFormat="false" ht="12.75" hidden="false" customHeight="false" outlineLevel="0" collapsed="false">
      <c r="A23" s="48" t="s">
        <v>27</v>
      </c>
      <c r="B23" s="48"/>
      <c r="C23" s="55"/>
      <c r="D23" s="33" t="n">
        <f aca="false">(17528+34741+71066)/1000</f>
        <v>123.335</v>
      </c>
      <c r="E23" s="63"/>
      <c r="F23" s="33" t="n">
        <f aca="false">([6]Data!$P$66+[6]Data!$P$73+[6]Data!$P$78)/1000</f>
        <v>263.448</v>
      </c>
      <c r="G23" s="55"/>
      <c r="H23" s="62" t="n">
        <f aca="false">(F23-D23)*-1</f>
        <v>-140.113</v>
      </c>
    </row>
    <row r="24" customFormat="false" ht="12.75" hidden="false" customHeight="false" outlineLevel="0" collapsed="false">
      <c r="A24" s="48" t="s">
        <v>29</v>
      </c>
      <c r="B24" s="48"/>
      <c r="C24" s="52"/>
      <c r="D24" s="33" t="n">
        <f aca="false">(12498+5295-6249)/1000</f>
        <v>11.544</v>
      </c>
      <c r="E24" s="61"/>
      <c r="F24" s="33" t="n">
        <f aca="false">([6]Data!$P$79+[6]Data!$P$80)/1000</f>
        <v>15.888</v>
      </c>
      <c r="G24" s="52"/>
      <c r="H24" s="62" t="n">
        <f aca="false">(F24-D24)*-1</f>
        <v>-4.344</v>
      </c>
    </row>
    <row r="25" customFormat="false" ht="12.75" hidden="false" customHeight="false" outlineLevel="0" collapsed="false">
      <c r="A25" s="48" t="s">
        <v>31</v>
      </c>
      <c r="B25" s="48"/>
      <c r="D25" s="33" t="n">
        <v>0</v>
      </c>
      <c r="E25" s="64"/>
      <c r="F25" s="33" t="n">
        <v>0</v>
      </c>
      <c r="H25" s="62" t="n">
        <f aca="false">(F25-D25)*-1</f>
        <v>-0</v>
      </c>
    </row>
    <row r="26" customFormat="false" ht="12.75" hidden="false" customHeight="false" outlineLevel="0" collapsed="false">
      <c r="A26" s="48" t="s">
        <v>33</v>
      </c>
      <c r="B26" s="48"/>
      <c r="D26" s="33" t="n">
        <v>0</v>
      </c>
      <c r="E26" s="64"/>
      <c r="F26" s="33" t="n">
        <v>0</v>
      </c>
      <c r="H26" s="62" t="n">
        <f aca="false">(F26-D26)*-1</f>
        <v>-0</v>
      </c>
    </row>
    <row r="27" customFormat="false" ht="12.75" hidden="false" customHeight="false" outlineLevel="0" collapsed="false">
      <c r="A27" s="57" t="s">
        <v>67</v>
      </c>
      <c r="B27" s="48"/>
      <c r="D27" s="33" t="n">
        <v>278.4</v>
      </c>
      <c r="E27" s="64"/>
      <c r="F27" s="33" t="n">
        <f aca="false">([6]Data!$P$74)/1000</f>
        <v>810</v>
      </c>
      <c r="H27" s="62" t="n">
        <f aca="false">(F27-D27)*-1</f>
        <v>-531.6</v>
      </c>
    </row>
    <row r="28" customFormat="false" ht="12.75" hidden="false" customHeight="false" outlineLevel="0" collapsed="false">
      <c r="A28" s="48" t="s">
        <v>68</v>
      </c>
      <c r="B28" s="48"/>
      <c r="D28" s="33" t="n">
        <f aca="false">(60+25876+2988-6400-7596-6330)/1000</f>
        <v>8.598</v>
      </c>
      <c r="E28" s="64"/>
      <c r="F28" s="33" t="n">
        <f aca="false">([6]Data!$P$83+[6]Data!$P$71+[6]Data!$P$53)/1000</f>
        <v>0</v>
      </c>
      <c r="H28" s="62" t="n">
        <f aca="false">(F28-D28)*-1</f>
        <v>8.598</v>
      </c>
    </row>
    <row r="29" customFormat="false" ht="12.75" hidden="false" customHeight="false" outlineLevel="0" collapsed="false">
      <c r="A29" s="48" t="s">
        <v>39</v>
      </c>
      <c r="B29" s="48"/>
      <c r="D29" s="33" t="n">
        <v>0</v>
      </c>
      <c r="E29" s="64"/>
      <c r="F29" s="33" t="n">
        <v>7</v>
      </c>
      <c r="H29" s="62" t="n">
        <f aca="false">(F29-D29)*-1</f>
        <v>-7</v>
      </c>
    </row>
    <row r="30" customFormat="false" ht="12.75" hidden="false" customHeight="false" outlineLevel="0" collapsed="false">
      <c r="A30" s="48" t="s">
        <v>41</v>
      </c>
      <c r="B30" s="48"/>
      <c r="D30" s="33" t="n">
        <v>0</v>
      </c>
      <c r="E30" s="64"/>
      <c r="F30" s="33" t="n">
        <v>0</v>
      </c>
      <c r="H30" s="62" t="n">
        <f aca="false">(F30-D30)*-1</f>
        <v>-0</v>
      </c>
    </row>
    <row r="31" customFormat="false" ht="12.75" hidden="false" customHeight="false" outlineLevel="0" collapsed="false">
      <c r="A31" s="48" t="s">
        <v>43</v>
      </c>
      <c r="B31" s="48"/>
      <c r="D31" s="65" t="n">
        <v>0</v>
      </c>
      <c r="E31" s="64"/>
      <c r="F31" s="65" t="n">
        <v>0</v>
      </c>
      <c r="H31" s="66" t="n">
        <f aca="false">(F31-D31)*-1</f>
        <v>-0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</f>
        <v>1282.363</v>
      </c>
      <c r="E33" s="55" t="s">
        <v>57</v>
      </c>
      <c r="F33" s="67" t="n">
        <f aca="false">SUM(F17:F31)</f>
        <v>2829.590633125</v>
      </c>
      <c r="G33" s="55" t="s">
        <v>57</v>
      </c>
      <c r="H33" s="67" t="n">
        <f aca="false">SUM(H17:H31)</f>
        <v>-1547.757633125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-1282.363</v>
      </c>
      <c r="E37" s="55" t="s">
        <v>57</v>
      </c>
      <c r="F37" s="71" t="n">
        <f aca="false">F17-F33-F35</f>
        <v>-2829.590633125</v>
      </c>
      <c r="G37" s="55" t="s">
        <v>57</v>
      </c>
      <c r="H37" s="71" t="n">
        <f aca="false">H17-H33-H35</f>
        <v>1547.757633125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v>0</v>
      </c>
      <c r="F41" s="72"/>
      <c r="H41" s="62" t="n">
        <f aca="false">(F41-D41)*-1</f>
        <v>-0</v>
      </c>
    </row>
    <row r="42" customFormat="false" ht="12.75" hidden="false" customHeight="false" outlineLevel="0" collapsed="false">
      <c r="A42" s="48" t="s">
        <v>72</v>
      </c>
      <c r="B42" s="48"/>
      <c r="D42" s="72" t="n">
        <v>2</v>
      </c>
      <c r="F42" s="72" t="n">
        <v>3</v>
      </c>
      <c r="H42" s="62" t="n">
        <f aca="false">(F42-D42)*-1</f>
        <v>-1</v>
      </c>
    </row>
    <row r="43" customFormat="false" ht="12.75" hidden="false" customHeight="false" outlineLevel="0" collapsed="false">
      <c r="A43" s="48" t="s">
        <v>49</v>
      </c>
      <c r="B43" s="48"/>
      <c r="D43" s="72" t="n">
        <v>2</v>
      </c>
      <c r="F43" s="72" t="n">
        <v>3</v>
      </c>
      <c r="H43" s="62" t="n">
        <f aca="false">(F43-D43)*-1</f>
        <v>-1</v>
      </c>
    </row>
    <row r="44" customFormat="false" ht="12.75" hidden="false" customHeight="false" outlineLevel="0" collapsed="false">
      <c r="A44" s="48" t="s">
        <v>73</v>
      </c>
      <c r="B44" s="48"/>
      <c r="D44" s="72" t="n">
        <v>3</v>
      </c>
      <c r="F44" s="72" t="n">
        <v>7</v>
      </c>
      <c r="H44" s="62" t="n">
        <f aca="false">(F44-D44)*-1</f>
        <v>-4</v>
      </c>
    </row>
    <row r="45" customFormat="false" ht="12.75" hidden="false" customHeight="false" outlineLevel="0" collapsed="false">
      <c r="A45" s="48" t="s">
        <v>74</v>
      </c>
      <c r="B45" s="48"/>
      <c r="D45" s="74" t="n">
        <v>2</v>
      </c>
      <c r="F45" s="74" t="n">
        <v>3</v>
      </c>
      <c r="H45" s="62" t="n">
        <f aca="false">(F45-D45)*-1</f>
        <v>-1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SUM(D41:D45)</f>
        <v>9</v>
      </c>
      <c r="E47" s="68"/>
      <c r="F47" s="77" t="n">
        <f aca="false">SUM(F41:F45)</f>
        <v>16</v>
      </c>
      <c r="G47" s="68"/>
      <c r="H47" s="77" t="n">
        <f aca="false">SUM(H41:H46)</f>
        <v>-7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140.606164570313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-176.849414570313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F49" activeCellId="0" sqref="F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</row>
    <row r="19" customFormat="false" ht="12.75" hidden="false" customHeight="false" outlineLevel="0" collapsed="false">
      <c r="A19" s="48" t="s">
        <v>19</v>
      </c>
      <c r="B19" s="48"/>
      <c r="C19" s="52"/>
      <c r="D19" s="33" t="n">
        <f aca="false">(234922+299184)/1000</f>
        <v>534.106</v>
      </c>
      <c r="E19" s="52"/>
      <c r="F19" s="33" t="n">
        <f aca="false">([7]Data!$P$31+[7]Data!$P$34)/1000</f>
        <v>823.348288125</v>
      </c>
      <c r="G19" s="52"/>
      <c r="H19" s="62" t="n">
        <f aca="false">(F19-D19)*-1</f>
        <v>-289.242288125</v>
      </c>
      <c r="L19" s="0" t="n">
        <v>1000</v>
      </c>
    </row>
    <row r="20" customFormat="false" ht="12.75" hidden="false" customHeight="false" outlineLevel="0" collapsed="false">
      <c r="A20" s="48" t="s">
        <v>21</v>
      </c>
      <c r="B20" s="48"/>
      <c r="C20" s="52"/>
      <c r="D20" s="33" t="n">
        <f aca="false">(391+37)/1000+0.2</f>
        <v>0.628</v>
      </c>
      <c r="E20" s="52"/>
      <c r="F20" s="33" t="n">
        <f aca="false">([7]Data!$P$43)/1000</f>
        <v>38.5</v>
      </c>
      <c r="G20" s="52"/>
      <c r="H20" s="62" t="n">
        <f aca="false">(F20-D20)*-1</f>
        <v>-37.872</v>
      </c>
    </row>
    <row r="21" customFormat="false" ht="12.75" hidden="false" customHeight="false" outlineLevel="0" collapsed="false">
      <c r="A21" s="48" t="s">
        <v>66</v>
      </c>
      <c r="B21" s="48"/>
      <c r="C21" s="52"/>
      <c r="D21" s="33" t="n">
        <f aca="false">(2343+1196+29646)/1000</f>
        <v>33.185</v>
      </c>
      <c r="E21" s="52"/>
      <c r="F21" s="33" t="n">
        <f aca="false">([7]Data!$P$50)/1000</f>
        <v>82.02</v>
      </c>
      <c r="G21" s="52"/>
      <c r="H21" s="62" t="n">
        <f aca="false">(F21-D21)*-1</f>
        <v>-48.835</v>
      </c>
      <c r="L21" s="0" t="n">
        <v>-1</v>
      </c>
    </row>
    <row r="22" customFormat="false" ht="12.75" hidden="false" customHeight="false" outlineLevel="0" collapsed="false">
      <c r="A22" s="48" t="s">
        <v>25</v>
      </c>
      <c r="B22" s="48"/>
      <c r="C22" s="52"/>
      <c r="D22" s="33" t="n">
        <v>0</v>
      </c>
      <c r="E22" s="52"/>
      <c r="F22" s="33" t="n">
        <f aca="false">([7]Data!$P$62)/1000</f>
        <v>0</v>
      </c>
      <c r="G22" s="52"/>
      <c r="H22" s="62" t="n">
        <f aca="false">(F22-D22)*-1</f>
        <v>-0</v>
      </c>
    </row>
    <row r="23" customFormat="false" ht="12.75" hidden="false" customHeight="false" outlineLevel="0" collapsed="false">
      <c r="A23" s="48" t="s">
        <v>27</v>
      </c>
      <c r="B23" s="48"/>
      <c r="C23" s="55"/>
      <c r="D23" s="33" t="n">
        <f aca="false">(45+1662+524+7002)/1000</f>
        <v>9.233</v>
      </c>
      <c r="E23" s="55"/>
      <c r="F23" s="33" t="n">
        <f aca="false">([7]Data!$P$66+[7]Data!$P$78+[7]Data!$P$73)/1000</f>
        <v>75.804</v>
      </c>
      <c r="G23" s="55"/>
      <c r="H23" s="62" t="n">
        <f aca="false">(F23-D23)*-1</f>
        <v>-66.571</v>
      </c>
    </row>
    <row r="24" customFormat="false" ht="12.75" hidden="false" customHeight="false" outlineLevel="0" collapsed="false">
      <c r="A24" s="48" t="s">
        <v>29</v>
      </c>
      <c r="B24" s="48"/>
      <c r="C24" s="52"/>
      <c r="D24" s="33" t="n">
        <v>34.86</v>
      </c>
      <c r="E24" s="52"/>
      <c r="F24" s="33" t="n">
        <f aca="false">([7]Data!$P$79+[7]Data!$P$80)/1000</f>
        <v>36</v>
      </c>
      <c r="G24" s="52"/>
      <c r="H24" s="62" t="n">
        <f aca="false">(F24-D24)*-1</f>
        <v>-1.14</v>
      </c>
    </row>
    <row r="25" customFormat="false" ht="12.75" hidden="false" customHeight="false" outlineLevel="0" collapsed="false">
      <c r="A25" s="48" t="s">
        <v>31</v>
      </c>
      <c r="B25" s="48"/>
      <c r="D25" s="33" t="n">
        <v>0</v>
      </c>
      <c r="F25" s="33" t="n">
        <v>0</v>
      </c>
      <c r="H25" s="62" t="n">
        <f aca="false">(F25-D25)*-1</f>
        <v>-0</v>
      </c>
    </row>
    <row r="26" customFormat="false" ht="12.75" hidden="false" customHeight="false" outlineLevel="0" collapsed="false">
      <c r="A26" s="48" t="s">
        <v>33</v>
      </c>
      <c r="B26" s="48"/>
      <c r="D26" s="33" t="n">
        <v>0</v>
      </c>
      <c r="F26" s="33" t="n">
        <v>0</v>
      </c>
      <c r="H26" s="62" t="n">
        <f aca="false">(F26-D26)*-1</f>
        <v>-0</v>
      </c>
    </row>
    <row r="27" customFormat="false" ht="12.75" hidden="false" customHeight="false" outlineLevel="0" collapsed="false">
      <c r="A27" s="57" t="s">
        <v>67</v>
      </c>
      <c r="B27" s="48"/>
      <c r="D27" s="33" t="n">
        <v>62.4</v>
      </c>
      <c r="F27" s="33" t="n">
        <f aca="false">([7]Data!$P$74)/1000</f>
        <v>104.4</v>
      </c>
      <c r="H27" s="62" t="n">
        <f aca="false">(F27-D27)*-1</f>
        <v>-42</v>
      </c>
    </row>
    <row r="28" customFormat="false" ht="12.75" hidden="false" customHeight="false" outlineLevel="0" collapsed="false">
      <c r="A28" s="48" t="s">
        <v>68</v>
      </c>
      <c r="B28" s="48"/>
      <c r="D28" s="33" t="n">
        <f aca="false">(13368-10400)/1000</f>
        <v>2.968</v>
      </c>
      <c r="F28" s="33" t="n">
        <f aca="false">([7]Data!$P$83+[7]Data!$P$71)/1000</f>
        <v>0</v>
      </c>
      <c r="H28" s="62" t="n">
        <f aca="false">(F28-D28)*-1</f>
        <v>2.968</v>
      </c>
    </row>
    <row r="29" customFormat="false" ht="12.75" hidden="false" customHeight="false" outlineLevel="0" collapsed="false">
      <c r="A29" s="48" t="s">
        <v>39</v>
      </c>
      <c r="B29" s="48"/>
      <c r="D29" s="33" t="n">
        <v>0</v>
      </c>
      <c r="F29" s="33" t="n">
        <f aca="false">([7]Data!$P$75)/1000</f>
        <v>0</v>
      </c>
      <c r="H29" s="62" t="n">
        <f aca="false">(F29-D29)*-1</f>
        <v>-0</v>
      </c>
    </row>
    <row r="30" customFormat="false" ht="12.75" hidden="false" customHeight="false" outlineLevel="0" collapsed="false">
      <c r="A30" s="48" t="s">
        <v>41</v>
      </c>
      <c r="B30" s="48"/>
      <c r="D30" s="33" t="n">
        <v>0</v>
      </c>
      <c r="F30" s="33" t="n">
        <v>0</v>
      </c>
      <c r="H30" s="62" t="n">
        <f aca="false">(F30-D30)*-1</f>
        <v>-0</v>
      </c>
    </row>
    <row r="31" customFormat="false" ht="12.75" hidden="false" customHeight="false" outlineLevel="0" collapsed="false">
      <c r="A31" s="48" t="s">
        <v>43</v>
      </c>
      <c r="B31" s="48"/>
      <c r="D31" s="65" t="n">
        <v>0</v>
      </c>
      <c r="F31" s="65" t="n">
        <v>0</v>
      </c>
      <c r="H31" s="66" t="n">
        <f aca="false">(F31-D31)*-1</f>
        <v>-0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</f>
        <v>677.38</v>
      </c>
      <c r="E33" s="55" t="s">
        <v>57</v>
      </c>
      <c r="F33" s="67" t="n">
        <f aca="false">SUM(F17:F31)</f>
        <v>1160.072288125</v>
      </c>
      <c r="G33" s="55" t="s">
        <v>57</v>
      </c>
      <c r="H33" s="67" t="n">
        <f aca="false">SUM(H17:H31)-0.3</f>
        <v>-482.992288125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-677.38</v>
      </c>
      <c r="E37" s="55" t="s">
        <v>57</v>
      </c>
      <c r="F37" s="71" t="n">
        <f aca="false">F17-F33-F35</f>
        <v>-1160.072288125</v>
      </c>
      <c r="G37" s="55" t="s">
        <v>57</v>
      </c>
      <c r="H37" s="71" t="n">
        <f aca="false">H17-H33-H35</f>
        <v>482.992288125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v>1</v>
      </c>
      <c r="F41" s="72" t="n">
        <v>1</v>
      </c>
      <c r="H41" s="62" t="n">
        <f aca="false">(F41-D41)*-1</f>
        <v>-0</v>
      </c>
    </row>
    <row r="42" customFormat="false" ht="12.75" hidden="false" customHeight="false" outlineLevel="0" collapsed="false">
      <c r="A42" s="48" t="s">
        <v>72</v>
      </c>
      <c r="B42" s="48"/>
      <c r="D42" s="72" t="n">
        <v>0</v>
      </c>
      <c r="F42" s="72" t="n">
        <v>1</v>
      </c>
      <c r="H42" s="62" t="n">
        <f aca="false">(F42-D42)*-1</f>
        <v>-1</v>
      </c>
    </row>
    <row r="43" customFormat="false" ht="12.75" hidden="false" customHeight="false" outlineLevel="0" collapsed="false">
      <c r="A43" s="48" t="s">
        <v>49</v>
      </c>
      <c r="B43" s="48"/>
      <c r="D43" s="72" t="n">
        <v>2</v>
      </c>
      <c r="F43" s="72" t="n">
        <v>4</v>
      </c>
      <c r="H43" s="62" t="n">
        <f aca="false">(F43-D43)*-1</f>
        <v>-2</v>
      </c>
    </row>
    <row r="44" customFormat="false" ht="12.75" hidden="false" customHeight="false" outlineLevel="0" collapsed="false">
      <c r="A44" s="48" t="s">
        <v>73</v>
      </c>
      <c r="B44" s="48"/>
      <c r="D44" s="72" t="n">
        <v>0</v>
      </c>
      <c r="F44" s="72" t="n">
        <v>1</v>
      </c>
      <c r="H44" s="62" t="n">
        <f aca="false">(F44-D44)*-1</f>
        <v>-1</v>
      </c>
    </row>
    <row r="45" customFormat="false" ht="12.75" hidden="false" customHeight="false" outlineLevel="0" collapsed="false">
      <c r="A45" s="48" t="s">
        <v>74</v>
      </c>
      <c r="B45" s="48"/>
      <c r="D45" s="74" t="n">
        <v>0</v>
      </c>
      <c r="F45" s="74" t="n">
        <v>0</v>
      </c>
      <c r="H45" s="66" t="n">
        <f aca="false">(F45-D45)*-1</f>
        <v>-0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SUM(D41:D45)</f>
        <v>3</v>
      </c>
      <c r="E47" s="68"/>
      <c r="F47" s="77" t="n">
        <f aca="false">SUM(F41:F45)</f>
        <v>7</v>
      </c>
      <c r="G47" s="68"/>
      <c r="H47" s="77" t="n">
        <f aca="false">SUM(H41:H45)</f>
        <v>-4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148.864612589286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-165.724612589286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F49" activeCellId="0" sqref="F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</row>
    <row r="19" customFormat="false" ht="12.75" hidden="false" customHeight="false" outlineLevel="0" collapsed="false">
      <c r="A19" s="48" t="s">
        <v>19</v>
      </c>
      <c r="B19" s="48"/>
      <c r="C19" s="52"/>
      <c r="D19" s="33" t="n">
        <f aca="false">(99617+274254)/1000</f>
        <v>373.871</v>
      </c>
      <c r="E19" s="61"/>
      <c r="F19" s="33" t="n">
        <f aca="false">([8]Data!$P$31+[8]Data!$P$34)/1000</f>
        <v>946.4098105</v>
      </c>
      <c r="G19" s="52"/>
      <c r="H19" s="62" t="n">
        <f aca="false">(F19-D19)*-1</f>
        <v>-572.5388105</v>
      </c>
      <c r="K19" s="0" t="n">
        <v>1000</v>
      </c>
    </row>
    <row r="20" customFormat="false" ht="12.75" hidden="false" customHeight="false" outlineLevel="0" collapsed="false">
      <c r="A20" s="48" t="s">
        <v>21</v>
      </c>
      <c r="B20" s="48"/>
      <c r="C20" s="52"/>
      <c r="D20" s="33" t="n">
        <f aca="false">(244+4220+16806)/1000</f>
        <v>21.27</v>
      </c>
      <c r="E20" s="61"/>
      <c r="F20" s="33" t="n">
        <f aca="false">([8]Data!$P$43)/1000</f>
        <v>31.75</v>
      </c>
      <c r="G20" s="52"/>
      <c r="H20" s="62" t="n">
        <f aca="false">(F20-D20+0.2)*-1</f>
        <v>-10.68</v>
      </c>
    </row>
    <row r="21" customFormat="false" ht="12.75" hidden="false" customHeight="false" outlineLevel="0" collapsed="false">
      <c r="A21" s="48" t="s">
        <v>66</v>
      </c>
      <c r="B21" s="48"/>
      <c r="C21" s="52"/>
      <c r="D21" s="33" t="n">
        <f aca="false">(3020+987+15798)/1000</f>
        <v>19.805</v>
      </c>
      <c r="E21" s="61"/>
      <c r="F21" s="33" t="n">
        <f aca="false">([8]Data!$P$50)/1000</f>
        <v>419.892</v>
      </c>
      <c r="G21" s="52"/>
      <c r="H21" s="62" t="n">
        <f aca="false">(F21-D21)*-1</f>
        <v>-400.087</v>
      </c>
      <c r="K21" s="0" t="n">
        <v>-1</v>
      </c>
    </row>
    <row r="22" customFormat="false" ht="12.75" hidden="false" customHeight="false" outlineLevel="0" collapsed="false">
      <c r="A22" s="48" t="s">
        <v>25</v>
      </c>
      <c r="B22" s="48"/>
      <c r="C22" s="52"/>
      <c r="D22" s="33" t="n">
        <f aca="false">(77)/1000</f>
        <v>0.077</v>
      </c>
      <c r="E22" s="61"/>
      <c r="F22" s="33" t="n">
        <f aca="false">([8]Data!$P$62)/1000</f>
        <v>0</v>
      </c>
      <c r="G22" s="52"/>
      <c r="H22" s="62" t="n">
        <f aca="false">(F22-D22)*-1</f>
        <v>0.077</v>
      </c>
    </row>
    <row r="23" customFormat="false" ht="12.75" hidden="false" customHeight="false" outlineLevel="0" collapsed="false">
      <c r="A23" s="48" t="s">
        <v>27</v>
      </c>
      <c r="B23" s="48"/>
      <c r="C23" s="55"/>
      <c r="D23" s="33" t="n">
        <f aca="false">(1958+870+3804)/1000</f>
        <v>6.632</v>
      </c>
      <c r="E23" s="63"/>
      <c r="F23" s="33" t="n">
        <f aca="false">([8]Data!$P$66+[8]Data!$P$73+[8]Data!$P$78)/1000</f>
        <v>92.1</v>
      </c>
      <c r="G23" s="55"/>
      <c r="H23" s="62" t="n">
        <f aca="false">(F23-D23)*-1</f>
        <v>-85.468</v>
      </c>
    </row>
    <row r="24" customFormat="false" ht="12.75" hidden="false" customHeight="false" outlineLevel="0" collapsed="false">
      <c r="A24" s="48" t="s">
        <v>29</v>
      </c>
      <c r="B24" s="48"/>
      <c r="C24" s="52"/>
      <c r="D24" s="33" t="n">
        <f aca="false">(657+3804)/1000</f>
        <v>4.461</v>
      </c>
      <c r="E24" s="61"/>
      <c r="F24" s="33" t="n">
        <f aca="false">([8]Data!$P$80)/1000</f>
        <v>13.2</v>
      </c>
      <c r="G24" s="52"/>
      <c r="H24" s="62" t="n">
        <f aca="false">(F24-D24)*-1</f>
        <v>-8.739</v>
      </c>
    </row>
    <row r="25" customFormat="false" ht="12.75" hidden="false" customHeight="false" outlineLevel="0" collapsed="false">
      <c r="A25" s="48" t="s">
        <v>31</v>
      </c>
      <c r="B25" s="48"/>
      <c r="D25" s="33" t="n">
        <v>0</v>
      </c>
      <c r="E25" s="64"/>
      <c r="F25" s="33" t="n">
        <v>0</v>
      </c>
      <c r="H25" s="62" t="n">
        <f aca="false">(F25-D25)*-1</f>
        <v>-0</v>
      </c>
    </row>
    <row r="26" customFormat="false" ht="12.75" hidden="false" customHeight="false" outlineLevel="0" collapsed="false">
      <c r="A26" s="48" t="s">
        <v>33</v>
      </c>
      <c r="B26" s="48"/>
      <c r="D26" s="33" t="n">
        <v>0</v>
      </c>
      <c r="E26" s="64"/>
      <c r="F26" s="33" t="n">
        <v>0</v>
      </c>
      <c r="H26" s="62" t="n">
        <f aca="false">(F26-D26)*-1</f>
        <v>-0</v>
      </c>
    </row>
    <row r="27" customFormat="false" ht="12.75" hidden="false" customHeight="false" outlineLevel="0" collapsed="false">
      <c r="A27" s="57" t="s">
        <v>67</v>
      </c>
      <c r="B27" s="48"/>
      <c r="D27" s="33" t="n">
        <v>0</v>
      </c>
      <c r="E27" s="64"/>
      <c r="F27" s="33" t="n">
        <f aca="false">([8]Data!$P$74)/1000</f>
        <v>248.4</v>
      </c>
      <c r="H27" s="62" t="n">
        <f aca="false">(F27-D27)*-1</f>
        <v>-248.4</v>
      </c>
    </row>
    <row r="28" customFormat="false" ht="12.75" hidden="false" customHeight="false" outlineLevel="0" collapsed="false">
      <c r="A28" s="48" t="s">
        <v>68</v>
      </c>
      <c r="B28" s="48"/>
      <c r="D28" s="33" t="n">
        <v>0</v>
      </c>
      <c r="E28" s="64"/>
      <c r="F28" s="33" t="n">
        <f aca="false">[8]Data!$P$85/1000</f>
        <v>6</v>
      </c>
      <c r="H28" s="62" t="n">
        <f aca="false">(F28-D28)*-1</f>
        <v>-6</v>
      </c>
    </row>
    <row r="29" customFormat="false" ht="12.75" hidden="false" customHeight="false" outlineLevel="0" collapsed="false">
      <c r="A29" s="48" t="s">
        <v>39</v>
      </c>
      <c r="B29" s="48"/>
      <c r="D29" s="33" t="n">
        <f aca="false">(40)/1000</f>
        <v>0.04</v>
      </c>
      <c r="E29" s="64"/>
      <c r="F29" s="33" t="n">
        <v>0</v>
      </c>
      <c r="H29" s="62" t="n">
        <f aca="false">(F29-D29)*-1</f>
        <v>0.04</v>
      </c>
    </row>
    <row r="30" customFormat="false" ht="12.75" hidden="false" customHeight="false" outlineLevel="0" collapsed="false">
      <c r="A30" s="48" t="s">
        <v>41</v>
      </c>
      <c r="B30" s="48"/>
      <c r="D30" s="33" t="n">
        <v>0</v>
      </c>
      <c r="E30" s="64"/>
      <c r="F30" s="33" t="n">
        <v>0</v>
      </c>
      <c r="H30" s="62" t="n">
        <f aca="false">(F30-D30)*-1</f>
        <v>-0</v>
      </c>
    </row>
    <row r="31" customFormat="false" ht="12.75" hidden="false" customHeight="false" outlineLevel="0" collapsed="false">
      <c r="A31" s="48" t="s">
        <v>43</v>
      </c>
      <c r="B31" s="48"/>
      <c r="D31" s="65" t="n">
        <v>0</v>
      </c>
      <c r="E31" s="64"/>
      <c r="F31" s="65" t="n">
        <v>0</v>
      </c>
      <c r="H31" s="66" t="n">
        <f aca="false">(F31-D31)*-1</f>
        <v>-0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</f>
        <v>426.156</v>
      </c>
      <c r="E33" s="55" t="s">
        <v>57</v>
      </c>
      <c r="F33" s="67" t="n">
        <f aca="false">SUM(F17:F31)</f>
        <v>1757.7518105</v>
      </c>
      <c r="G33" s="55" t="s">
        <v>57</v>
      </c>
      <c r="H33" s="67" t="n">
        <f aca="false">SUM(H17:H31)</f>
        <v>-1331.7958105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-426.156</v>
      </c>
      <c r="E37" s="55" t="s">
        <v>57</v>
      </c>
      <c r="F37" s="71" t="n">
        <f aca="false">F17-F33-F35</f>
        <v>-1757.7518105</v>
      </c>
      <c r="G37" s="55" t="s">
        <v>57</v>
      </c>
      <c r="H37" s="71" t="n">
        <f aca="false">H17-H33-H35</f>
        <v>1331.7958105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v>0</v>
      </c>
      <c r="F41" s="72" t="n">
        <v>0</v>
      </c>
      <c r="H41" s="62" t="n">
        <f aca="false">(F41-D41)*-1</f>
        <v>-0</v>
      </c>
    </row>
    <row r="42" customFormat="false" ht="12.75" hidden="false" customHeight="false" outlineLevel="0" collapsed="false">
      <c r="A42" s="48" t="s">
        <v>72</v>
      </c>
      <c r="B42" s="48"/>
      <c r="D42" s="72" t="n">
        <v>0</v>
      </c>
      <c r="F42" s="72" t="n">
        <v>1</v>
      </c>
      <c r="H42" s="62" t="n">
        <f aca="false">(F42-D42)*-1</f>
        <v>-1</v>
      </c>
    </row>
    <row r="43" customFormat="false" ht="12.75" hidden="false" customHeight="false" outlineLevel="0" collapsed="false">
      <c r="A43" s="48" t="s">
        <v>49</v>
      </c>
      <c r="B43" s="48"/>
      <c r="D43" s="72" t="n">
        <v>2</v>
      </c>
      <c r="F43" s="72" t="n">
        <v>7</v>
      </c>
      <c r="H43" s="62" t="n">
        <f aca="false">(F43-D43)*-1</f>
        <v>-5</v>
      </c>
    </row>
    <row r="44" customFormat="false" ht="12.75" hidden="false" customHeight="false" outlineLevel="0" collapsed="false">
      <c r="A44" s="48" t="s">
        <v>73</v>
      </c>
      <c r="B44" s="48"/>
      <c r="D44" s="72" t="n">
        <v>0</v>
      </c>
      <c r="F44" s="72" t="n">
        <v>2</v>
      </c>
      <c r="H44" s="62" t="n">
        <f aca="false">(F44-D44)*-1</f>
        <v>-2</v>
      </c>
    </row>
    <row r="45" customFormat="false" ht="12.75" hidden="false" customHeight="false" outlineLevel="0" collapsed="false">
      <c r="A45" s="48" t="s">
        <v>74</v>
      </c>
      <c r="B45" s="48"/>
      <c r="D45" s="74" t="n">
        <v>3</v>
      </c>
      <c r="F45" s="74" t="n">
        <v>0</v>
      </c>
      <c r="H45" s="66" t="n">
        <f aca="false">(F45-D45)*-1</f>
        <v>3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SUM(D41:D45)</f>
        <v>5</v>
      </c>
      <c r="E47" s="68"/>
      <c r="F47" s="77" t="n">
        <f aca="false">SUM(F41:F45)</f>
        <v>10</v>
      </c>
      <c r="G47" s="68"/>
      <c r="H47" s="77" t="n">
        <f aca="false">SUM(H41:H45)</f>
        <v>-5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131.86598105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-175.77518105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D50" activeCellId="0" sqref="D50: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</row>
    <row r="19" customFormat="false" ht="12.75" hidden="false" customHeight="false" outlineLevel="0" collapsed="false">
      <c r="A19" s="48" t="s">
        <v>19</v>
      </c>
      <c r="B19" s="48"/>
      <c r="C19" s="52"/>
      <c r="D19" s="33" t="n">
        <f aca="false">(1137740-400000)/1000</f>
        <v>737.74</v>
      </c>
      <c r="E19" s="61"/>
      <c r="F19" s="33" t="n">
        <f aca="false">([9]Data!$P$31+[9]Data!$P$34)/1000</f>
        <v>1034.70274654167</v>
      </c>
      <c r="G19" s="52"/>
      <c r="H19" s="62" t="n">
        <f aca="false">(F19-D19)*-1</f>
        <v>-296.962746541667</v>
      </c>
      <c r="J19" s="0" t="n">
        <v>-1</v>
      </c>
      <c r="L19" s="0" t="n">
        <v>1000</v>
      </c>
    </row>
    <row r="20" customFormat="false" ht="12.75" hidden="false" customHeight="false" outlineLevel="0" collapsed="false">
      <c r="A20" s="48" t="s">
        <v>21</v>
      </c>
      <c r="B20" s="48"/>
      <c r="C20" s="52"/>
      <c r="D20" s="33" t="n">
        <f aca="false">(122370+305+8419+16890+4926)/1000</f>
        <v>152.91</v>
      </c>
      <c r="E20" s="61"/>
      <c r="F20" s="33" t="n">
        <f aca="false">([9]Data!$P$43)/1000</f>
        <v>180.612</v>
      </c>
      <c r="G20" s="52"/>
      <c r="H20" s="62" t="n">
        <f aca="false">(F20-D20)*-1</f>
        <v>-27.702</v>
      </c>
    </row>
    <row r="21" customFormat="false" ht="12.75" hidden="false" customHeight="false" outlineLevel="0" collapsed="false">
      <c r="A21" s="48" t="s">
        <v>66</v>
      </c>
      <c r="B21" s="48"/>
      <c r="C21" s="52"/>
      <c r="D21" s="33" t="n">
        <f aca="false">(41040+8598)/1000</f>
        <v>49.638</v>
      </c>
      <c r="E21" s="61"/>
      <c r="F21" s="33" t="n">
        <f aca="false">([9]Data!$P$50)/1000</f>
        <v>63.996</v>
      </c>
      <c r="G21" s="52"/>
      <c r="H21" s="62" t="n">
        <f aca="false">(F21-D21)*-1</f>
        <v>-14.358</v>
      </c>
    </row>
    <row r="22" customFormat="false" ht="12.75" hidden="false" customHeight="false" outlineLevel="0" collapsed="false">
      <c r="A22" s="48" t="s">
        <v>25</v>
      </c>
      <c r="B22" s="48"/>
      <c r="C22" s="52"/>
      <c r="D22" s="33" t="n">
        <f aca="false">(578326+400000)/1000</f>
        <v>978.326</v>
      </c>
      <c r="E22" s="61"/>
      <c r="F22" s="33" t="n">
        <f aca="false">([9]Data!$P$62)/1000</f>
        <v>1060.008</v>
      </c>
      <c r="G22" s="52"/>
      <c r="H22" s="62" t="n">
        <f aca="false">(F22-D22)*-1</f>
        <v>-81.682</v>
      </c>
    </row>
    <row r="23" customFormat="false" ht="12.75" hidden="false" customHeight="false" outlineLevel="0" collapsed="false">
      <c r="A23" s="48" t="s">
        <v>27</v>
      </c>
      <c r="B23" s="48"/>
      <c r="C23" s="55"/>
      <c r="D23" s="33" t="n">
        <f aca="false">(150880+85924+248930)/1000</f>
        <v>485.734</v>
      </c>
      <c r="E23" s="63"/>
      <c r="F23" s="33" t="n">
        <f aca="false">([9]Data!$P$66+[9]Data!$P$73+[9]Data!$P$78)/1000</f>
        <v>779.688</v>
      </c>
      <c r="G23" s="55"/>
      <c r="H23" s="62" t="n">
        <f aca="false">(F23-D23)*-1</f>
        <v>-293.954</v>
      </c>
    </row>
    <row r="24" customFormat="false" ht="12.75" hidden="false" customHeight="false" outlineLevel="0" collapsed="false">
      <c r="A24" s="48" t="s">
        <v>29</v>
      </c>
      <c r="B24" s="48"/>
      <c r="C24" s="52"/>
      <c r="D24" s="33" t="n">
        <f aca="false">(47502+10818)/1000</f>
        <v>58.32</v>
      </c>
      <c r="E24" s="61"/>
      <c r="F24" s="33" t="n">
        <f aca="false">([9]Data!$P$80)/1000</f>
        <v>272.856</v>
      </c>
      <c r="G24" s="52"/>
      <c r="H24" s="62" t="n">
        <f aca="false">(F24-D24)*-1</f>
        <v>-214.536</v>
      </c>
    </row>
    <row r="25" customFormat="false" ht="12.75" hidden="false" customHeight="false" outlineLevel="0" collapsed="false">
      <c r="A25" s="48" t="s">
        <v>31</v>
      </c>
      <c r="B25" s="48"/>
      <c r="D25" s="33" t="n">
        <v>0</v>
      </c>
      <c r="E25" s="64"/>
      <c r="F25" s="33" t="n">
        <v>0</v>
      </c>
      <c r="H25" s="62" t="n">
        <f aca="false">(F25-D25)*-1</f>
        <v>-0</v>
      </c>
    </row>
    <row r="26" customFormat="false" ht="12.75" hidden="false" customHeight="false" outlineLevel="0" collapsed="false">
      <c r="A26" s="48" t="s">
        <v>33</v>
      </c>
      <c r="B26" s="48"/>
      <c r="D26" s="33" t="n">
        <v>0</v>
      </c>
      <c r="E26" s="64"/>
      <c r="F26" s="33" t="n">
        <v>0</v>
      </c>
      <c r="H26" s="62" t="n">
        <f aca="false">(F26-D26)*-1</f>
        <v>-0</v>
      </c>
    </row>
    <row r="27" customFormat="false" ht="12.75" hidden="false" customHeight="false" outlineLevel="0" collapsed="false">
      <c r="A27" s="57" t="s">
        <v>67</v>
      </c>
      <c r="B27" s="48"/>
      <c r="D27" s="33" t="n">
        <v>960</v>
      </c>
      <c r="E27" s="64"/>
      <c r="F27" s="33" t="n">
        <f aca="false">([9]Data!$P$74)/1000</f>
        <v>1202.4</v>
      </c>
      <c r="H27" s="62" t="n">
        <f aca="false">(F27-D27)*-1</f>
        <v>-242.4</v>
      </c>
    </row>
    <row r="28" customFormat="false" ht="12.75" hidden="false" customHeight="false" outlineLevel="0" collapsed="false">
      <c r="A28" s="48" t="s">
        <v>68</v>
      </c>
      <c r="B28" s="48"/>
      <c r="D28" s="33" t="n">
        <f aca="false">(93+61058-47592)/1000</f>
        <v>13.559</v>
      </c>
      <c r="E28" s="64"/>
      <c r="F28" s="33" t="n">
        <f aca="false">([9]Data!$P$53)/1000</f>
        <v>0</v>
      </c>
      <c r="H28" s="62" t="n">
        <f aca="false">(F28-D28)*-1</f>
        <v>13.559</v>
      </c>
    </row>
    <row r="29" customFormat="false" ht="12.75" hidden="false" customHeight="false" outlineLevel="0" collapsed="false">
      <c r="A29" s="48" t="s">
        <v>39</v>
      </c>
      <c r="B29" s="48"/>
      <c r="D29" s="33" t="n">
        <v>0</v>
      </c>
      <c r="E29" s="64"/>
      <c r="F29" s="33" t="n">
        <v>0</v>
      </c>
      <c r="H29" s="62" t="n">
        <f aca="false">(F29-D29)*-1</f>
        <v>-0</v>
      </c>
    </row>
    <row r="30" customFormat="false" ht="12.75" hidden="false" customHeight="false" outlineLevel="0" collapsed="false">
      <c r="A30" s="48" t="s">
        <v>41</v>
      </c>
      <c r="B30" s="48"/>
      <c r="D30" s="33" t="n">
        <v>0</v>
      </c>
      <c r="E30" s="64"/>
      <c r="F30" s="33" t="n">
        <v>0</v>
      </c>
      <c r="H30" s="62" t="n">
        <f aca="false">(F30-D30)*-1</f>
        <v>-0</v>
      </c>
    </row>
    <row r="31" customFormat="false" ht="12.75" hidden="false" customHeight="false" outlineLevel="0" collapsed="false">
      <c r="A31" s="48" t="s">
        <v>43</v>
      </c>
      <c r="B31" s="48"/>
      <c r="D31" s="65" t="n">
        <v>0</v>
      </c>
      <c r="E31" s="64"/>
      <c r="F31" s="65" t="n">
        <v>0</v>
      </c>
      <c r="H31" s="66" t="n">
        <f aca="false">(F31-D31)*-1</f>
        <v>-0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SUM(D17:D31)+0.3</f>
        <v>3436.527</v>
      </c>
      <c r="E33" s="55" t="s">
        <v>57</v>
      </c>
      <c r="F33" s="67" t="n">
        <f aca="false">SUM(F17:F31)</f>
        <v>4594.26274654167</v>
      </c>
      <c r="G33" s="55" t="s">
        <v>57</v>
      </c>
      <c r="H33" s="67" t="n">
        <f aca="false">SUM(H17:H31)</f>
        <v>-1158.03574654167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-3436.527</v>
      </c>
      <c r="E37" s="55" t="s">
        <v>57</v>
      </c>
      <c r="F37" s="71" t="n">
        <f aca="false">F17-F33-F35</f>
        <v>-4594.26274654167</v>
      </c>
      <c r="G37" s="55" t="s">
        <v>57</v>
      </c>
      <c r="H37" s="71" t="n">
        <f aca="false">H17-H33-H35</f>
        <v>1158.03574654167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v>0</v>
      </c>
      <c r="F41" s="72" t="n">
        <v>0</v>
      </c>
      <c r="H41" s="62" t="n">
        <f aca="false">(F41-D41)*-1</f>
        <v>-0</v>
      </c>
    </row>
    <row r="42" customFormat="false" ht="12.75" hidden="false" customHeight="false" outlineLevel="0" collapsed="false">
      <c r="A42" s="48" t="s">
        <v>72</v>
      </c>
      <c r="B42" s="48"/>
      <c r="D42" s="72" t="n">
        <v>0</v>
      </c>
      <c r="F42" s="72" t="n">
        <v>1</v>
      </c>
      <c r="H42" s="62" t="n">
        <f aca="false">(F42-D42)*-1</f>
        <v>-1</v>
      </c>
    </row>
    <row r="43" customFormat="false" ht="12.75" hidden="false" customHeight="false" outlineLevel="0" collapsed="false">
      <c r="A43" s="48" t="s">
        <v>49</v>
      </c>
      <c r="B43" s="48"/>
      <c r="D43" s="72" t="n">
        <v>3</v>
      </c>
      <c r="F43" s="72" t="n">
        <v>4</v>
      </c>
      <c r="H43" s="62" t="n">
        <f aca="false">(F43-D43)*-1</f>
        <v>-1</v>
      </c>
    </row>
    <row r="44" customFormat="false" ht="12.75" hidden="false" customHeight="false" outlineLevel="0" collapsed="false">
      <c r="A44" s="48" t="s">
        <v>73</v>
      </c>
      <c r="B44" s="48"/>
      <c r="D44" s="72" t="n">
        <v>10</v>
      </c>
      <c r="F44" s="72" t="n">
        <v>10</v>
      </c>
      <c r="H44" s="62" t="n">
        <f aca="false">(F44-D44)*-1</f>
        <v>-0</v>
      </c>
    </row>
    <row r="45" customFormat="false" ht="12.75" hidden="false" customHeight="false" outlineLevel="0" collapsed="false">
      <c r="A45" s="48" t="s">
        <v>74</v>
      </c>
      <c r="B45" s="48"/>
      <c r="D45" s="74" t="n">
        <v>5</v>
      </c>
      <c r="F45" s="74" t="n">
        <v>5</v>
      </c>
      <c r="H45" s="66" t="n">
        <f aca="false">(F45-D45)*-1</f>
        <v>-0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SUM(D41:D45)</f>
        <v>18</v>
      </c>
      <c r="E47" s="68"/>
      <c r="F47" s="77" t="n">
        <f aca="false">SUM(F41:F45)</f>
        <v>20</v>
      </c>
      <c r="G47" s="68"/>
      <c r="H47" s="77" t="n">
        <f aca="false">SUM(H41:H45)</f>
        <v>-2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159.870137327083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-229.713137327083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D50" activeCellId="0" sqref="D50: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44" width="3.14"/>
    <col collapsed="false" customWidth="true" hidden="false" outlineLevel="0" max="4" min="4" style="0" width="15.7"/>
    <col collapsed="false" customWidth="true" hidden="false" outlineLevel="0" max="5" min="5" style="44" width="3.56"/>
    <col collapsed="false" customWidth="true" hidden="false" outlineLevel="0" max="6" min="6" style="0" width="15.7"/>
    <col collapsed="false" customWidth="true" hidden="false" outlineLevel="0" max="7" min="7" style="4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45" t="s">
        <v>53</v>
      </c>
      <c r="C1" s="46"/>
      <c r="E1" s="46"/>
      <c r="G1" s="46"/>
    </row>
    <row r="2" customFormat="false" ht="15.75" hidden="false" customHeight="false" outlineLevel="0" collapsed="false">
      <c r="C2" s="46"/>
      <c r="E2" s="46"/>
      <c r="G2" s="46"/>
    </row>
    <row r="3" customFormat="false" ht="12.75" hidden="false" customHeight="false" outlineLevel="0" collapsed="false">
      <c r="C3" s="47"/>
      <c r="E3" s="47"/>
      <c r="G3" s="47"/>
    </row>
    <row r="4" customFormat="false" ht="13.5" hidden="false" customHeight="false" outlineLevel="0" collapsed="false">
      <c r="A4" s="48"/>
      <c r="B4" s="48"/>
      <c r="C4" s="49"/>
      <c r="D4" s="50" t="s">
        <v>54</v>
      </c>
      <c r="E4" s="49"/>
      <c r="F4" s="50" t="s">
        <v>3</v>
      </c>
      <c r="G4" s="49"/>
      <c r="H4" s="51" t="s">
        <v>55</v>
      </c>
    </row>
    <row r="5" customFormat="false" ht="5.25" hidden="false" customHeight="true" outlineLevel="0" collapsed="false">
      <c r="A5" s="48"/>
      <c r="B5" s="48"/>
      <c r="C5" s="47"/>
      <c r="D5" s="48"/>
      <c r="E5" s="47"/>
      <c r="F5" s="48"/>
      <c r="G5" s="47"/>
    </row>
    <row r="6" customFormat="false" ht="12.75" hidden="false" customHeight="false" outlineLevel="0" collapsed="false">
      <c r="A6" s="48" t="s">
        <v>56</v>
      </c>
      <c r="B6" s="48"/>
      <c r="C6" s="52" t="s">
        <v>57</v>
      </c>
      <c r="D6" s="48" t="n">
        <v>0</v>
      </c>
      <c r="E6" s="52" t="s">
        <v>57</v>
      </c>
      <c r="F6" s="48" t="n">
        <v>0</v>
      </c>
      <c r="G6" s="52" t="s">
        <v>57</v>
      </c>
      <c r="H6" s="48" t="n">
        <f aca="false">F6-D6</f>
        <v>0</v>
      </c>
    </row>
    <row r="7" customFormat="false" ht="12.75" hidden="false" customHeight="false" outlineLevel="0" collapsed="false">
      <c r="A7" s="48" t="s">
        <v>58</v>
      </c>
      <c r="B7" s="48"/>
      <c r="C7" s="52"/>
      <c r="D7" s="48" t="n">
        <v>0</v>
      </c>
      <c r="E7" s="52"/>
      <c r="F7" s="48" t="n">
        <v>0</v>
      </c>
      <c r="G7" s="52"/>
      <c r="H7" s="48" t="n">
        <f aca="false">F7-D7</f>
        <v>0</v>
      </c>
    </row>
    <row r="8" customFormat="false" ht="12.75" hidden="false" customHeight="false" outlineLevel="0" collapsed="false">
      <c r="A8" s="48" t="s">
        <v>59</v>
      </c>
      <c r="B8" s="48"/>
      <c r="C8" s="52"/>
      <c r="D8" s="48" t="n">
        <v>0</v>
      </c>
      <c r="E8" s="52"/>
      <c r="F8" s="48" t="n">
        <v>0</v>
      </c>
      <c r="G8" s="52"/>
      <c r="H8" s="48" t="n">
        <f aca="false">F8-D8</f>
        <v>0</v>
      </c>
    </row>
    <row r="9" customFormat="false" ht="12.75" hidden="false" customHeight="false" outlineLevel="0" collapsed="false">
      <c r="A9" s="48" t="s">
        <v>60</v>
      </c>
      <c r="B9" s="48"/>
      <c r="C9" s="52"/>
      <c r="D9" s="48" t="n">
        <v>0</v>
      </c>
      <c r="E9" s="52"/>
      <c r="F9" s="48" t="n">
        <v>0</v>
      </c>
      <c r="G9" s="52"/>
      <c r="H9" s="48" t="n">
        <f aca="false">F9-D9</f>
        <v>0</v>
      </c>
    </row>
    <row r="10" customFormat="false" ht="12.75" hidden="false" customHeight="false" outlineLevel="0" collapsed="false">
      <c r="A10" s="48" t="s">
        <v>61</v>
      </c>
      <c r="B10" s="48"/>
      <c r="C10" s="52"/>
      <c r="D10" s="48" t="n">
        <v>0</v>
      </c>
      <c r="E10" s="52"/>
      <c r="F10" s="48" t="n">
        <v>0</v>
      </c>
      <c r="G10" s="52"/>
      <c r="H10" s="48" t="n">
        <f aca="false">F10-D10</f>
        <v>0</v>
      </c>
    </row>
    <row r="11" customFormat="false" ht="12.75" hidden="false" customHeight="false" outlineLevel="0" collapsed="false">
      <c r="A11" s="48" t="s">
        <v>62</v>
      </c>
      <c r="B11" s="48"/>
      <c r="C11" s="52"/>
      <c r="D11" s="53" t="n">
        <v>0</v>
      </c>
      <c r="E11" s="52"/>
      <c r="F11" s="53" t="n">
        <v>0</v>
      </c>
      <c r="G11" s="52"/>
      <c r="H11" s="53" t="n">
        <f aca="false">F11-D11</f>
        <v>0</v>
      </c>
    </row>
    <row r="12" customFormat="false" ht="8.25" hidden="false" customHeight="true" outlineLevel="0" collapsed="false">
      <c r="A12" s="48"/>
      <c r="B12" s="48"/>
      <c r="C12" s="52"/>
      <c r="D12" s="48"/>
      <c r="E12" s="52"/>
      <c r="F12" s="48"/>
      <c r="G12" s="52"/>
    </row>
    <row r="13" customFormat="false" ht="12.75" hidden="false" customHeight="false" outlineLevel="0" collapsed="false">
      <c r="A13" s="54" t="s">
        <v>63</v>
      </c>
      <c r="B13" s="54"/>
      <c r="C13" s="55" t="s">
        <v>57</v>
      </c>
      <c r="D13" s="54" t="n">
        <f aca="false">SUM(D6:D11)</f>
        <v>0</v>
      </c>
      <c r="E13" s="55" t="s">
        <v>57</v>
      </c>
      <c r="F13" s="54" t="n">
        <f aca="false">SUM(F6:F11)</f>
        <v>0</v>
      </c>
      <c r="G13" s="55" t="s">
        <v>57</v>
      </c>
      <c r="H13" s="54" t="n">
        <f aca="false">SUM(H6:H12)</f>
        <v>0</v>
      </c>
    </row>
    <row r="14" customFormat="false" ht="12.75" hidden="false" customHeight="false" outlineLevel="0" collapsed="false">
      <c r="A14" s="54"/>
      <c r="B14" s="48"/>
      <c r="C14" s="55"/>
      <c r="D14" s="56"/>
      <c r="E14" s="55"/>
      <c r="F14" s="56"/>
      <c r="G14" s="55"/>
      <c r="H14" s="56"/>
    </row>
    <row r="15" customFormat="false" ht="12.75" hidden="false" customHeight="false" outlineLevel="0" collapsed="false">
      <c r="A15" s="57" t="s">
        <v>64</v>
      </c>
      <c r="B15" s="48"/>
      <c r="C15" s="55"/>
      <c r="D15" s="58" t="n">
        <v>0</v>
      </c>
      <c r="E15" s="55"/>
      <c r="F15" s="59" t="n">
        <v>0</v>
      </c>
      <c r="G15" s="55"/>
      <c r="H15" s="58" t="n">
        <f aca="false">F15-D15</f>
        <v>0</v>
      </c>
    </row>
    <row r="16" customFormat="false" ht="6.75" hidden="false" customHeight="true" outlineLevel="0" collapsed="false">
      <c r="A16" s="54"/>
      <c r="B16" s="48"/>
      <c r="C16" s="52"/>
      <c r="D16" s="56"/>
      <c r="E16" s="52"/>
      <c r="F16" s="56"/>
      <c r="G16" s="52"/>
      <c r="H16" s="56"/>
    </row>
    <row r="17" customFormat="false" ht="12.75" hidden="false" customHeight="false" outlineLevel="0" collapsed="false">
      <c r="A17" s="54" t="s">
        <v>65</v>
      </c>
      <c r="B17" s="54"/>
      <c r="C17" s="55" t="s">
        <v>57</v>
      </c>
      <c r="D17" s="60" t="n">
        <f aca="false">D13-D15</f>
        <v>0</v>
      </c>
      <c r="E17" s="55" t="s">
        <v>57</v>
      </c>
      <c r="F17" s="60" t="n">
        <f aca="false">F13-F15</f>
        <v>0</v>
      </c>
      <c r="G17" s="55" t="s">
        <v>57</v>
      </c>
      <c r="H17" s="60" t="n">
        <f aca="false">F17-D17</f>
        <v>0</v>
      </c>
    </row>
    <row r="18" customFormat="false" ht="10.5" hidden="false" customHeight="true" outlineLevel="0" collapsed="false">
      <c r="A18" s="48"/>
      <c r="B18" s="48"/>
      <c r="C18" s="52"/>
      <c r="D18" s="48"/>
      <c r="E18" s="52"/>
      <c r="F18" s="48"/>
      <c r="G18" s="52"/>
      <c r="H18" s="60"/>
    </row>
    <row r="19" customFormat="false" ht="12.75" hidden="false" customHeight="false" outlineLevel="0" collapsed="false">
      <c r="A19" s="48" t="s">
        <v>19</v>
      </c>
      <c r="B19" s="48"/>
      <c r="C19" s="52"/>
      <c r="D19" s="33" t="n">
        <f aca="false">((256119+59820)*2)/1000</f>
        <v>631.878</v>
      </c>
      <c r="E19" s="52"/>
      <c r="F19" s="33" t="n">
        <f aca="false">([10]Data!$P$31+[10]Data!$P$34)/1000</f>
        <v>904.370685625</v>
      </c>
      <c r="G19" s="52"/>
      <c r="H19" s="62" t="n">
        <f aca="false">(F19-D19)*-1</f>
        <v>-272.492685625</v>
      </c>
      <c r="L19" s="0" t="n">
        <v>1000</v>
      </c>
    </row>
    <row r="20" customFormat="false" ht="12.75" hidden="false" customHeight="false" outlineLevel="0" collapsed="false">
      <c r="A20" s="48" t="s">
        <v>21</v>
      </c>
      <c r="B20" s="48"/>
      <c r="C20" s="52"/>
      <c r="D20" s="33" t="n">
        <v>95</v>
      </c>
      <c r="E20" s="52"/>
      <c r="F20" s="33" t="n">
        <f aca="false">([10]Data!$P$43)/1000</f>
        <v>94.214</v>
      </c>
      <c r="G20" s="52"/>
      <c r="H20" s="62" t="n">
        <f aca="false">(F20-D20)*-1</f>
        <v>0.786000000000001</v>
      </c>
    </row>
    <row r="21" customFormat="false" ht="12.75" hidden="false" customHeight="false" outlineLevel="0" collapsed="false">
      <c r="A21" s="48" t="s">
        <v>66</v>
      </c>
      <c r="B21" s="48"/>
      <c r="C21" s="52"/>
      <c r="D21" s="33" t="n">
        <v>87.676</v>
      </c>
      <c r="E21" s="52"/>
      <c r="F21" s="33" t="n">
        <f aca="false">([10]Data!$P$50)/1000</f>
        <v>27.996</v>
      </c>
      <c r="G21" s="52"/>
      <c r="H21" s="62" t="n">
        <f aca="false">(F21-D21)*-1</f>
        <v>59.68</v>
      </c>
      <c r="L21" s="0" t="n">
        <v>-1</v>
      </c>
    </row>
    <row r="22" customFormat="false" ht="12.75" hidden="false" customHeight="false" outlineLevel="0" collapsed="false">
      <c r="A22" s="48" t="s">
        <v>25</v>
      </c>
      <c r="B22" s="48"/>
      <c r="C22" s="52"/>
      <c r="D22" s="33" t="n">
        <f aca="false">(214)/1000</f>
        <v>0.214</v>
      </c>
      <c r="E22" s="52"/>
      <c r="F22" s="33" t="n">
        <f aca="false">([10]Data!$P$62)/1000</f>
        <v>0</v>
      </c>
      <c r="G22" s="52"/>
      <c r="H22" s="62" t="n">
        <f aca="false">(F22-D22)*-1</f>
        <v>0.214</v>
      </c>
    </row>
    <row r="23" customFormat="false" ht="12.75" hidden="false" customHeight="false" outlineLevel="0" collapsed="false">
      <c r="A23" s="48" t="s">
        <v>27</v>
      </c>
      <c r="B23" s="48"/>
      <c r="C23" s="55"/>
      <c r="D23" s="33" t="n">
        <f aca="false">(2174+133553+52417+141495)/1000</f>
        <v>329.639</v>
      </c>
      <c r="E23" s="55"/>
      <c r="F23" s="33" t="n">
        <f aca="false">([10]Data!$P$66+[10]Data!$P$73+[10]Data!$P$78)/1000</f>
        <v>304.32</v>
      </c>
      <c r="G23" s="55"/>
      <c r="H23" s="62" t="n">
        <f aca="false">(F23-D23)*-1</f>
        <v>25.319</v>
      </c>
    </row>
    <row r="24" customFormat="false" ht="12.75" hidden="false" customHeight="false" outlineLevel="0" collapsed="false">
      <c r="A24" s="48" t="s">
        <v>29</v>
      </c>
      <c r="B24" s="48"/>
      <c r="C24" s="52"/>
      <c r="D24" s="33" t="n">
        <v>3.29</v>
      </c>
      <c r="E24" s="52"/>
      <c r="F24" s="33" t="n">
        <f aca="false">([10]Data!$P$80)/1000</f>
        <v>0</v>
      </c>
      <c r="G24" s="52"/>
      <c r="H24" s="62" t="n">
        <f aca="false">(F24-D24)*-1</f>
        <v>3.29</v>
      </c>
    </row>
    <row r="25" customFormat="false" ht="12.75" hidden="false" customHeight="false" outlineLevel="0" collapsed="false">
      <c r="A25" s="48" t="s">
        <v>31</v>
      </c>
      <c r="B25" s="48"/>
      <c r="D25" s="33" t="n">
        <v>0</v>
      </c>
      <c r="F25" s="33" t="n">
        <v>0</v>
      </c>
      <c r="H25" s="62" t="n">
        <f aca="false">(F25-D25)*-1</f>
        <v>-0</v>
      </c>
    </row>
    <row r="26" customFormat="false" ht="12.75" hidden="false" customHeight="false" outlineLevel="0" collapsed="false">
      <c r="A26" s="48" t="s">
        <v>33</v>
      </c>
      <c r="B26" s="48"/>
      <c r="D26" s="33" t="n">
        <f aca="false">(1033417+738185)/1000</f>
        <v>1771.602</v>
      </c>
      <c r="F26" s="33" t="n">
        <v>0</v>
      </c>
      <c r="H26" s="62" t="n">
        <f aca="false">(F26-D26)*-1</f>
        <v>1771.602</v>
      </c>
    </row>
    <row r="27" customFormat="false" ht="12.75" hidden="false" customHeight="false" outlineLevel="0" collapsed="false">
      <c r="A27" s="57" t="s">
        <v>67</v>
      </c>
      <c r="B27" s="48"/>
      <c r="D27" s="33" t="n">
        <v>0</v>
      </c>
      <c r="F27" s="33" t="n">
        <f aca="false">([10]Data!$P$74)/1000</f>
        <v>313.2</v>
      </c>
      <c r="H27" s="62" t="n">
        <f aca="false">(F27-D27)*-1</f>
        <v>-313.2</v>
      </c>
    </row>
    <row r="28" customFormat="false" ht="12.75" hidden="false" customHeight="false" outlineLevel="0" collapsed="false">
      <c r="A28" s="48" t="s">
        <v>68</v>
      </c>
      <c r="B28" s="48"/>
      <c r="D28" s="33" t="n">
        <f aca="false">(38975+28651+63-27386)/1000</f>
        <v>40.303</v>
      </c>
      <c r="F28" s="33" t="n">
        <f aca="false">([10]Data!$P$53)/1000</f>
        <v>0</v>
      </c>
      <c r="H28" s="62" t="n">
        <f aca="false">(F28-D28)*-1</f>
        <v>40.303</v>
      </c>
    </row>
    <row r="29" customFormat="false" ht="12.75" hidden="false" customHeight="false" outlineLevel="0" collapsed="false">
      <c r="A29" s="48" t="s">
        <v>39</v>
      </c>
      <c r="B29" s="48"/>
      <c r="D29" s="33" t="n">
        <v>0</v>
      </c>
      <c r="F29" s="33" t="n">
        <v>0</v>
      </c>
      <c r="H29" s="62" t="n">
        <f aca="false">(F29-D29)*-1</f>
        <v>-0</v>
      </c>
    </row>
    <row r="30" customFormat="false" ht="12.75" hidden="false" customHeight="false" outlineLevel="0" collapsed="false">
      <c r="A30" s="48" t="s">
        <v>41</v>
      </c>
      <c r="B30" s="48"/>
      <c r="D30" s="33" t="n">
        <v>0</v>
      </c>
      <c r="F30" s="33" t="n">
        <v>0</v>
      </c>
      <c r="H30" s="62" t="n">
        <f aca="false">(F30-D30)*-1</f>
        <v>-0</v>
      </c>
    </row>
    <row r="31" customFormat="false" ht="12.75" hidden="false" customHeight="false" outlineLevel="0" collapsed="false">
      <c r="A31" s="48" t="s">
        <v>43</v>
      </c>
      <c r="B31" s="48"/>
      <c r="D31" s="65" t="n">
        <f aca="false">(217770+182105)/1000</f>
        <v>399.875</v>
      </c>
      <c r="F31" s="65" t="n">
        <f aca="false">([10]Data!$P$86)/1000</f>
        <v>818.832</v>
      </c>
      <c r="H31" s="66" t="n">
        <f aca="false">(F31-D31)*-1</f>
        <v>-418.957</v>
      </c>
    </row>
    <row r="32" customFormat="false" ht="5.25" hidden="false" customHeight="true" outlineLevel="0" collapsed="false">
      <c r="A32" s="48"/>
      <c r="B32" s="48"/>
      <c r="D32" s="48"/>
      <c r="F32" s="48"/>
    </row>
    <row r="33" customFormat="false" ht="12.75" hidden="false" customHeight="false" outlineLevel="0" collapsed="false">
      <c r="A33" s="54" t="s">
        <v>45</v>
      </c>
      <c r="B33" s="54"/>
      <c r="C33" s="55" t="s">
        <v>57</v>
      </c>
      <c r="D33" s="67" t="n">
        <f aca="false">SUM(D17:D31)</f>
        <v>3359.477</v>
      </c>
      <c r="E33" s="55" t="s">
        <v>57</v>
      </c>
      <c r="F33" s="67" t="n">
        <f aca="false">SUM(F17:F31)</f>
        <v>2462.932685625</v>
      </c>
      <c r="G33" s="55" t="s">
        <v>57</v>
      </c>
      <c r="H33" s="67" t="n">
        <f aca="false">SUM(H17:H31)</f>
        <v>896.544314375</v>
      </c>
    </row>
    <row r="34" customFormat="false" ht="6.75" hidden="false" customHeight="true" outlineLevel="0" collapsed="false">
      <c r="A34" s="48"/>
      <c r="B34" s="48"/>
      <c r="C34" s="68"/>
      <c r="D34" s="54"/>
      <c r="E34" s="68"/>
      <c r="F34" s="69"/>
      <c r="G34" s="68"/>
      <c r="H34" s="70"/>
    </row>
    <row r="35" customFormat="false" ht="12.75" hidden="false" customHeight="true" outlineLevel="0" collapsed="false">
      <c r="A35" s="54" t="s">
        <v>69</v>
      </c>
      <c r="B35" s="48"/>
      <c r="C35" s="55" t="s">
        <v>57</v>
      </c>
      <c r="D35" s="67"/>
      <c r="E35" s="55" t="s">
        <v>57</v>
      </c>
      <c r="F35" s="67"/>
      <c r="G35" s="55" t="s">
        <v>57</v>
      </c>
      <c r="H35" s="67"/>
    </row>
    <row r="36" customFormat="false" ht="6.75" hidden="false" customHeight="true" outlineLevel="0" collapsed="false">
      <c r="A36" s="48"/>
      <c r="B36" s="48"/>
      <c r="C36" s="68"/>
      <c r="D36" s="54"/>
      <c r="E36" s="68"/>
      <c r="F36" s="69"/>
      <c r="G36" s="68"/>
      <c r="H36" s="70"/>
    </row>
    <row r="37" customFormat="false" ht="13.5" hidden="false" customHeight="false" outlineLevel="0" collapsed="false">
      <c r="A37" s="54" t="s">
        <v>70</v>
      </c>
      <c r="B37" s="54"/>
      <c r="C37" s="55" t="s">
        <v>57</v>
      </c>
      <c r="D37" s="71" t="n">
        <f aca="false">D17-D33-D35</f>
        <v>-3359.477</v>
      </c>
      <c r="E37" s="55" t="s">
        <v>57</v>
      </c>
      <c r="F37" s="71" t="n">
        <f aca="false">F17-F33-F35</f>
        <v>-2462.932685625</v>
      </c>
      <c r="G37" s="55" t="s">
        <v>57</v>
      </c>
      <c r="H37" s="71" t="n">
        <f aca="false">H17-H33-H35</f>
        <v>-896.544314375</v>
      </c>
    </row>
    <row r="38" customFormat="false" ht="19.5" hidden="false" customHeight="true" outlineLevel="0" collapsed="false">
      <c r="A38" s="48"/>
      <c r="B38" s="48"/>
      <c r="D38" s="72"/>
      <c r="F38" s="73"/>
    </row>
    <row r="39" customFormat="false" ht="12.75" hidden="false" customHeight="false" outlineLevel="0" collapsed="false">
      <c r="A39" s="60" t="s">
        <v>71</v>
      </c>
      <c r="B39" s="48"/>
      <c r="D39" s="48"/>
      <c r="F39" s="48"/>
    </row>
    <row r="40" customFormat="false" ht="4.5" hidden="false" customHeight="true" outlineLevel="0" collapsed="false">
      <c r="A40" s="48"/>
      <c r="B40" s="48"/>
      <c r="D40" s="72"/>
      <c r="F40" s="48"/>
    </row>
    <row r="41" customFormat="false" ht="12.75" hidden="false" customHeight="false" outlineLevel="0" collapsed="false">
      <c r="A41" s="48" t="s">
        <v>47</v>
      </c>
      <c r="B41" s="48"/>
      <c r="D41" s="72" t="n">
        <v>0</v>
      </c>
      <c r="F41" s="72" t="n">
        <v>0</v>
      </c>
      <c r="H41" s="62" t="n">
        <f aca="false">(F41-D41)*-1</f>
        <v>-0</v>
      </c>
    </row>
    <row r="42" customFormat="false" ht="12.75" hidden="false" customHeight="false" outlineLevel="0" collapsed="false">
      <c r="A42" s="48" t="s">
        <v>72</v>
      </c>
      <c r="B42" s="48"/>
      <c r="D42" s="72" t="n">
        <v>0</v>
      </c>
      <c r="F42" s="72" t="n">
        <v>0</v>
      </c>
      <c r="H42" s="62" t="n">
        <f aca="false">(F42-D42)*-1</f>
        <v>-0</v>
      </c>
    </row>
    <row r="43" customFormat="false" ht="12.75" hidden="false" customHeight="false" outlineLevel="0" collapsed="false">
      <c r="A43" s="48" t="s">
        <v>49</v>
      </c>
      <c r="B43" s="48"/>
      <c r="D43" s="72" t="n">
        <v>4</v>
      </c>
      <c r="F43" s="72" t="n">
        <v>5</v>
      </c>
      <c r="H43" s="62" t="n">
        <f aca="false">(F43-D43)*-1</f>
        <v>-1</v>
      </c>
    </row>
    <row r="44" customFormat="false" ht="12.75" hidden="false" customHeight="false" outlineLevel="0" collapsed="false">
      <c r="A44" s="48" t="s">
        <v>73</v>
      </c>
      <c r="B44" s="48"/>
      <c r="D44" s="72" t="n">
        <v>0</v>
      </c>
      <c r="F44" s="72" t="n">
        <v>3</v>
      </c>
      <c r="H44" s="62" t="n">
        <f aca="false">(F44-D44)*-1</f>
        <v>-3</v>
      </c>
    </row>
    <row r="45" customFormat="false" ht="12.75" hidden="false" customHeight="false" outlineLevel="0" collapsed="false">
      <c r="A45" s="48" t="s">
        <v>74</v>
      </c>
      <c r="B45" s="48"/>
      <c r="D45" s="74" t="n">
        <v>2</v>
      </c>
      <c r="F45" s="74" t="n">
        <v>3</v>
      </c>
      <c r="H45" s="66" t="n">
        <f aca="false">(F45-D45)*-1</f>
        <v>-1</v>
      </c>
    </row>
    <row r="46" customFormat="false" ht="4.5" hidden="false" customHeight="true" outlineLevel="0" collapsed="false">
      <c r="A46" s="75"/>
      <c r="B46" s="75"/>
      <c r="D46" s="76"/>
      <c r="F46" s="76"/>
      <c r="H46" s="76"/>
    </row>
    <row r="47" customFormat="false" ht="13.5" hidden="false" customHeight="false" outlineLevel="0" collapsed="false">
      <c r="A47" s="54" t="s">
        <v>75</v>
      </c>
      <c r="B47" s="54"/>
      <c r="C47" s="68"/>
      <c r="D47" s="77" t="n">
        <f aca="false">SUM(D41:D45)</f>
        <v>6</v>
      </c>
      <c r="E47" s="68"/>
      <c r="F47" s="77" t="n">
        <f aca="false">SUM(F41:F45)</f>
        <v>11</v>
      </c>
      <c r="G47" s="68"/>
      <c r="H47" s="77" t="n">
        <f aca="false">SUM(H41:H45)</f>
        <v>-5</v>
      </c>
    </row>
    <row r="48" customFormat="false" ht="21.75" hidden="false" customHeight="true" outlineLevel="0" collapsed="false">
      <c r="A48" s="54"/>
      <c r="B48" s="48"/>
      <c r="D48" s="48"/>
      <c r="F48" s="48"/>
    </row>
    <row r="49" customFormat="false" ht="13.5" hidden="false" customHeight="false" outlineLevel="0" collapsed="false">
      <c r="A49" s="60" t="s">
        <v>76</v>
      </c>
      <c r="B49" s="48"/>
      <c r="D49" s="50" t="s">
        <v>77</v>
      </c>
      <c r="F49" s="50" t="s">
        <v>78</v>
      </c>
    </row>
    <row r="50" customFormat="false" ht="12.75" hidden="false" customHeight="false" outlineLevel="0" collapsed="false">
      <c r="A50" s="78" t="s">
        <v>79</v>
      </c>
      <c r="B50" s="48"/>
      <c r="C50" s="52" t="s">
        <v>57</v>
      </c>
      <c r="D50" s="48" t="n">
        <f aca="false">(F19+F20+F23+F27)/F47</f>
        <v>146.918607784091</v>
      </c>
      <c r="E50" s="52" t="s">
        <v>57</v>
      </c>
    </row>
    <row r="51" customFormat="false" ht="12.75" hidden="false" customHeight="false" outlineLevel="0" collapsed="false">
      <c r="A51" s="78" t="s">
        <v>80</v>
      </c>
      <c r="B51" s="48"/>
      <c r="C51" s="52" t="s">
        <v>57</v>
      </c>
      <c r="D51" s="48" t="n">
        <f aca="false">F37/F47</f>
        <v>-223.902971420455</v>
      </c>
      <c r="E51" s="52" t="s">
        <v>57</v>
      </c>
    </row>
    <row r="52" customFormat="false" ht="12.75" hidden="false" customHeight="false" outlineLevel="0" collapsed="false">
      <c r="A52" s="78" t="s">
        <v>81</v>
      </c>
      <c r="B52" s="48"/>
      <c r="D52" s="48"/>
      <c r="F5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2001-08-23T12:44:26Z</dcterms:created>
  <dc:creator>mmoore2</dc:creator>
  <dc:description/>
  <dc:language>en-US</dc:language>
  <cp:lastModifiedBy>thardy</cp:lastModifiedBy>
  <cp:lastPrinted>2001-09-18T18:28:36Z</cp:lastPrinted>
  <dcterms:modified xsi:type="dcterms:W3CDTF">2001-09-18T18:35:20Z</dcterms:modified>
  <cp:revision>0</cp:revision>
  <dc:subject/>
  <dc:title/>
</cp:coreProperties>
</file>