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evenue" sheetId="2" state="visible" r:id="rId4"/>
    <sheet name="nCube" sheetId="3" state="visible" r:id="rId5"/>
    <sheet name="STB Forecast" sheetId="4" state="visible" r:id="rId6"/>
    <sheet name="STB" sheetId="5" state="visible" r:id="rId7"/>
    <sheet name="DRM" sheetId="6" state="visible" r:id="rId8"/>
    <sheet name="Streaming Server" sheetId="7" state="visible" r:id="rId9"/>
  </sheets>
  <externalReferences>
    <externalReference r:id="rId10"/>
  </externalReferences>
  <definedNames>
    <definedName function="false" hidden="false" localSheetId="0" name="_xlnm.Print_Area" vbProcedure="false">Summary!$A$1:$R$30</definedName>
    <definedName function="false" hidden="false" localSheetId="0" name="Z_3B773845_BEFA_11D4_97C7_004096149E6C__wvu_PrintArea" vbProcedure="false">Summary!$B$2:$S$21</definedName>
    <definedName function="false" hidden="false" localSheetId="2" name="Z_3B773845_BEFA_11D4_97C7_004096149E6C__wvu_Rows" vbProcedure="false">nCube!$42:$52</definedName>
    <definedName function="false" hidden="false" localSheetId="4" name="Z_3B773845_BEFA_11D4_97C7_004096149E6C__wvu_Rows" vbProcedure="false">STB!$27:$36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based on PO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210</xdr:colOff>
                <xdr:row>12</xdr:row>
                <xdr:rowOff>6</xdr:rowOff>
              </xdr:from>
              <xdr:to>
                <xdr:col>3</xdr:col>
                <xdr:colOff>23</xdr:colOff>
                <xdr:row>14</xdr:row>
                <xdr:rowOff>5</xdr:rowOff>
              </xdr:to>
            </anchor>
          </commentPr>
        </mc:Choice>
        <mc:Fallback/>
      </mc:AlternateContent>
    </commen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Hub, Wiring,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229</xdr:colOff>
                <xdr:row>21</xdr:row>
                <xdr:rowOff>6</xdr:rowOff>
              </xdr:from>
              <xdr:to>
                <xdr:col>3</xdr:col>
                <xdr:colOff>40</xdr:colOff>
                <xdr:row>23</xdr:row>
                <xdr:rowOff>7</xdr:rowOff>
              </xdr:to>
            </anchor>
          </commentPr>
        </mc:Choice>
        <mc:Fallback/>
      </mc:AlternateContent>
    </commen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PSA paid 11/06/00 per Brad Brooks &amp; Mike Hennessy.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37</xdr:colOff>
                <xdr:row>1</xdr:row>
                <xdr:rowOff>6</xdr:rowOff>
              </xdr:from>
              <xdr:to>
                <xdr:col>4</xdr:col>
                <xdr:colOff>26</xdr:colOff>
                <xdr:row>5</xdr:row>
                <xdr:rowOff>14</xdr:rowOff>
              </xdr:to>
            </anchor>
          </commentPr>
        </mc:Choice>
        <mc:Fallback/>
      </mc:AlternateContent>
    </comment>
    <comment ref="C4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1080 + $50 for Disk on Chip (Additional memory)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37</xdr:colOff>
                <xdr:row>2</xdr:row>
                <xdr:rowOff>6</xdr:rowOff>
              </xdr:from>
              <xdr:to>
                <xdr:col>4</xdr:col>
                <xdr:colOff>26</xdr:colOff>
                <xdr:row>6</xdr:row>
                <xdr:rowOff>14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Under descretion per Brad Brooks.  Estimated to be paid in December.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6</xdr:rowOff>
              </xdr:from>
              <xdr:to>
                <xdr:col>5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D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27</xdr:colOff>
                <xdr:row>17</xdr:row>
                <xdr:rowOff>6</xdr:rowOff>
              </xdr:from>
              <xdr:to>
                <xdr:col>5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E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28</xdr:colOff>
                <xdr:row>17</xdr:row>
                <xdr:rowOff>6</xdr:rowOff>
              </xdr:from>
              <xdr:to>
                <xdr:col>6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Kevin X Zheng:
</t>
        </r>
        <r>
          <rPr>
            <sz val="8"/>
            <color rgb="FF000000"/>
            <rFont val="Tahoma"/>
            <family val="0"/>
          </rPr>
          <t xml:space="preserve">per Bora Bariman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24</xdr:colOff>
                <xdr:row>2</xdr:row>
                <xdr:rowOff>6</xdr:rowOff>
              </xdr:from>
              <xdr:to>
                <xdr:col>7</xdr:col>
                <xdr:colOff>23</xdr:colOff>
                <xdr:row>4</xdr:row>
                <xdr:rowOff>4</xdr:rowOff>
              </xdr:to>
            </anchor>
          </commentPr>
        </mc:Choice>
        <mc:Fallback/>
      </mc:AlternateContent>
    </comment>
    <comment ref="F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28</xdr:colOff>
                <xdr:row>17</xdr:row>
                <xdr:rowOff>6</xdr:rowOff>
              </xdr:from>
              <xdr:to>
                <xdr:col>7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G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27</xdr:colOff>
                <xdr:row>17</xdr:row>
                <xdr:rowOff>6</xdr:rowOff>
              </xdr:from>
              <xdr:to>
                <xdr:col>8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27</xdr:colOff>
                <xdr:row>17</xdr:row>
                <xdr:rowOff>6</xdr:rowOff>
              </xdr:from>
              <xdr:to>
                <xdr:col>9</xdr:col>
                <xdr:colOff>29</xdr:colOff>
                <xdr:row>21</xdr:row>
                <xdr:rowOff>14</xdr:rowOff>
              </xdr:to>
            </anchor>
          </commentPr>
        </mc:Choice>
        <mc:Fallback/>
      </mc:AlternateContent>
    </commen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27</xdr:colOff>
                <xdr:row>17</xdr:row>
                <xdr:rowOff>6</xdr:rowOff>
              </xdr:from>
              <xdr:to>
                <xdr:col>10</xdr:col>
                <xdr:colOff>23</xdr:colOff>
                <xdr:row>21</xdr:row>
                <xdr:rowOff>14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27</xdr:colOff>
                <xdr:row>17</xdr:row>
                <xdr:rowOff>6</xdr:rowOff>
              </xdr:from>
              <xdr:to>
                <xdr:col>11</xdr:col>
                <xdr:colOff>12</xdr:colOff>
                <xdr:row>21</xdr:row>
                <xdr:rowOff>14</xdr:rowOff>
              </xdr:to>
            </anchor>
          </commentPr>
        </mc:Choice>
        <mc:Fallback/>
      </mc:AlternateContent>
    </comment>
    <comment ref="K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32</xdr:colOff>
                <xdr:row>17</xdr:row>
                <xdr:rowOff>6</xdr:rowOff>
              </xdr:from>
              <xdr:to>
                <xdr:col>12</xdr:col>
                <xdr:colOff>14</xdr:colOff>
                <xdr:row>21</xdr:row>
                <xdr:rowOff>14</xdr:rowOff>
              </xdr:to>
            </anchor>
          </commentPr>
        </mc:Choice>
        <mc:Fallback/>
      </mc:AlternateContent>
    </comment>
    <comment ref="L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27</xdr:colOff>
                <xdr:row>17</xdr:row>
                <xdr:rowOff>6</xdr:rowOff>
              </xdr:from>
              <xdr:to>
                <xdr:col>13</xdr:col>
                <xdr:colOff>20</xdr:colOff>
                <xdr:row>21</xdr:row>
                <xdr:rowOff>14</xdr:rowOff>
              </xdr:to>
            </anchor>
          </commentPr>
        </mc:Choice>
        <mc:Fallback/>
      </mc:AlternateContent>
    </comment>
    <comment ref="M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17</xdr:row>
                <xdr:rowOff>6</xdr:rowOff>
              </xdr:from>
              <xdr:to>
                <xdr:col>14</xdr:col>
                <xdr:colOff>20</xdr:colOff>
                <xdr:row>21</xdr:row>
                <xdr:rowOff>14</xdr:rowOff>
              </xdr:to>
            </anchor>
          </commentPr>
        </mc:Choice>
        <mc:Fallback/>
      </mc:AlternateContent>
    </comment>
    <comment ref="N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17</xdr:row>
                <xdr:rowOff>6</xdr:rowOff>
              </xdr:from>
              <xdr:to>
                <xdr:col>15</xdr:col>
                <xdr:colOff>20</xdr:colOff>
                <xdr:row>21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Recalculated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17</xdr:row>
                <xdr:rowOff>6</xdr:rowOff>
              </xdr:from>
              <xdr:to>
                <xdr:col>16</xdr:col>
                <xdr:colOff>23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melanie_king:
</t>
        </r>
        <r>
          <rPr>
            <sz val="8"/>
            <color rgb="FF000000"/>
            <rFont val="Tahoma"/>
            <family val="0"/>
          </rPr>
          <t xml:space="preserve">WIRE TRANSFER OCCURRED 11/22 PER FINNEY ATTASSERIL.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6</xdr:rowOff>
              </xdr:from>
              <xdr:to>
                <xdr:col>13</xdr:col>
                <xdr:colOff>17</xdr:colOff>
                <xdr:row>28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<sst xmlns="http://schemas.openxmlformats.org/spreadsheetml/2006/main" count="244" uniqueCount="200">
  <si>
    <t xml:space="preserve">Addl. Phase I Costs to LLC</t>
  </si>
  <si>
    <t xml:space="preserve">Total</t>
  </si>
  <si>
    <t xml:space="preserve">3 mos</t>
  </si>
  <si>
    <t xml:space="preserve">$'000</t>
  </si>
  <si>
    <t xml:space="preserve">EBS Share</t>
  </si>
  <si>
    <t xml:space="preserve">nCUBE Consulting</t>
  </si>
  <si>
    <t xml:space="preserve">STB</t>
  </si>
  <si>
    <t xml:space="preserve">DRM</t>
  </si>
  <si>
    <t xml:space="preserve">Streaming Servers</t>
  </si>
  <si>
    <t xml:space="preserve">Salaries, Benefits and Travel  (April - Dec only)</t>
  </si>
  <si>
    <t xml:space="preserve">   Salaries &amp; Benefits - STB</t>
  </si>
  <si>
    <t xml:space="preserve">   Salaries &amp; Benefits - DRM</t>
  </si>
  <si>
    <t xml:space="preserve">   Travel - STB</t>
  </si>
  <si>
    <t xml:space="preserve">   Travel - DRM</t>
  </si>
  <si>
    <t xml:space="preserve">   Salaries, Benefits, &amp; Travel - nCUBE</t>
  </si>
  <si>
    <t xml:space="preserve">   Non Deferrable Salaries*</t>
  </si>
  <si>
    <t xml:space="preserve">Total Cost</t>
  </si>
  <si>
    <t xml:space="preserve">Cumulative</t>
  </si>
  <si>
    <t xml:space="preserve">Total Basis:</t>
  </si>
  <si>
    <t xml:space="preserve">Note</t>
  </si>
  <si>
    <t xml:space="preserve">*All other salaries, benefits and travel expenses above are deferrable.</t>
  </si>
  <si>
    <t xml:space="preserve">All salaries, benefits and travel expense assumptions from Carolyn Barrett and Florence Zoes.</t>
  </si>
  <si>
    <t xml:space="preserve">ASSUMPTIONS</t>
  </si>
  <si>
    <t xml:space="preserve">EBS Access Fee Percentage</t>
  </si>
  <si>
    <t xml:space="preserve">Monthly VOD Access Fee</t>
  </si>
  <si>
    <t xml:space="preserve">Charge Access Fee in Phase I</t>
  </si>
  <si>
    <t xml:space="preserve">No</t>
  </si>
  <si>
    <t xml:space="preserve">Set Top Boxes Deployed (Assumption)</t>
  </si>
  <si>
    <t xml:space="preserve">VOD subscribers (end of month)</t>
  </si>
  <si>
    <t xml:space="preserve">Incremental subscribers</t>
  </si>
  <si>
    <t xml:space="preserve">Movie ordered per home per month</t>
  </si>
  <si>
    <t xml:space="preserve">EBS Share of Rentle Price</t>
  </si>
  <si>
    <t xml:space="preserve">Total Rental Revenue ($000)</t>
  </si>
  <si>
    <t xml:space="preserve">Access fee per customer per month</t>
  </si>
  <si>
    <t xml:space="preserve">EBS share of access fee</t>
  </si>
  <si>
    <t xml:space="preserve">Total Access Fee Revenue ($000)</t>
  </si>
  <si>
    <t xml:space="preserve">STB price/lease charge to customer</t>
  </si>
  <si>
    <t xml:space="preserve">Box deployed</t>
  </si>
  <si>
    <t xml:space="preserve">Total STB Revenue ($000)</t>
  </si>
  <si>
    <t xml:space="preserve">Total Phase I Revenue ('000)</t>
  </si>
  <si>
    <t xml:space="preserve">NOTE:</t>
  </si>
  <si>
    <t xml:space="preserve">1) VOD SUBSCRIBERS BASED ON STB FORECAST TAB</t>
  </si>
  <si>
    <t xml:space="preserve">Phase I Server Deployment</t>
  </si>
  <si>
    <t xml:space="preserve">Streaming Bit Rate</t>
  </si>
  <si>
    <t xml:space="preserve">Mbps</t>
  </si>
  <si>
    <t xml:space="preserve">Spares</t>
  </si>
  <si>
    <t xml:space="preserve">Houston</t>
  </si>
  <si>
    <t xml:space="preserve">hubs incl. Redundance</t>
  </si>
  <si>
    <t xml:space="preserve">PO:  4500053806</t>
  </si>
  <si>
    <t xml:space="preserve">Stream Rate</t>
  </si>
  <si>
    <t xml:space="preserve">Relflex</t>
  </si>
  <si>
    <t xml:space="preserve">Seattle B</t>
  </si>
  <si>
    <t xml:space="preserve">PO: 4500051416</t>
  </si>
  <si>
    <t xml:space="preserve">Simultaneous Stream</t>
  </si>
  <si>
    <t xml:space="preserve">Streams</t>
  </si>
  <si>
    <t xml:space="preserve">Portland A</t>
  </si>
  <si>
    <t xml:space="preserve">PO:  4500051413</t>
  </si>
  <si>
    <t xml:space="preserve">Storage Capability</t>
  </si>
  <si>
    <t xml:space="preserve">GB/server</t>
  </si>
  <si>
    <t xml:space="preserve">Portland B</t>
  </si>
  <si>
    <t xml:space="preserve">PO:  4500051431</t>
  </si>
  <si>
    <t xml:space="preserve">Product Support</t>
  </si>
  <si>
    <t xml:space="preserve">Seattle A</t>
  </si>
  <si>
    <t xml:space="preserve">PO:  4500051433</t>
  </si>
  <si>
    <t xml:space="preserve">Installation</t>
  </si>
  <si>
    <t xml:space="preserve">1st hub</t>
  </si>
  <si>
    <t xml:space="preserve">subsequent hub</t>
  </si>
  <si>
    <t xml:space="preserve">Production</t>
  </si>
  <si>
    <t xml:space="preserve">PO:  4500050003,4500051435</t>
  </si>
  <si>
    <t xml:space="preserve">maximum </t>
  </si>
  <si>
    <t xml:space="preserve">Verizon</t>
  </si>
  <si>
    <t xml:space="preserve">New York</t>
  </si>
  <si>
    <t xml:space="preserve">PO:  4500051434,4500051439</t>
  </si>
  <si>
    <t xml:space="preserve">nCube Deployment Fee</t>
  </si>
  <si>
    <t xml:space="preserve">Airswitch</t>
  </si>
  <si>
    <t xml:space="preserve">Salt Lake City</t>
  </si>
  <si>
    <t xml:space="preserve">PO:  4500051438</t>
  </si>
  <si>
    <t xml:space="preserve">nCube Strategy Consulting</t>
  </si>
  <si>
    <t xml:space="preserve">VDC</t>
  </si>
  <si>
    <t xml:space="preserve">nCube Pricing Matrix</t>
  </si>
  <si>
    <t xml:space="preserve">per Server Cost</t>
  </si>
  <si>
    <t xml:space="preserve">Year 1</t>
  </si>
  <si>
    <t xml:space="preserve">Year 2</t>
  </si>
  <si>
    <t xml:space="preserve">Hardware</t>
  </si>
  <si>
    <t xml:space="preserve">nABLE/</t>
  </si>
  <si>
    <t xml:space="preserve">nAble</t>
  </si>
  <si>
    <t xml:space="preserve">Commitment</t>
  </si>
  <si>
    <t xml:space="preserve">$/mbps</t>
  </si>
  <si>
    <t xml:space="preserve">stream</t>
  </si>
  <si>
    <t xml:space="preserve">Price Drop</t>
  </si>
  <si>
    <t xml:space="preserve">Support</t>
  </si>
  <si>
    <t xml:space="preserve">$5MM</t>
  </si>
  <si>
    <t xml:space="preserve">$10MM</t>
  </si>
  <si>
    <t xml:space="preserve">$15MM</t>
  </si>
  <si>
    <t xml:space="preserve">$20MM</t>
  </si>
  <si>
    <t xml:space="preserve">Average</t>
  </si>
  <si>
    <t xml:space="preserve">**costs accounted for upon delivery</t>
  </si>
  <si>
    <t xml:space="preserve">Server</t>
  </si>
  <si>
    <t xml:space="preserve">Server needed</t>
  </si>
  <si>
    <t xml:space="preserve">Server Equipment Cost ($000)</t>
  </si>
  <si>
    <t xml:space="preserve">Product Support </t>
  </si>
  <si>
    <t xml:space="preserve">Total Server Cost</t>
  </si>
  <si>
    <t xml:space="preserve">Installation ($000)</t>
  </si>
  <si>
    <t xml:space="preserve">Consulting</t>
  </si>
  <si>
    <t xml:space="preserve">System Deployment</t>
  </si>
  <si>
    <t xml:space="preserve">Strategy Consulting</t>
  </si>
  <si>
    <t xml:space="preserve">Total Consulting Fee</t>
  </si>
  <si>
    <t xml:space="preserve">Total nCube Cost </t>
  </si>
  <si>
    <t xml:space="preserve">PO Tracking Sheet</t>
  </si>
  <si>
    <t xml:space="preserve">For Internal Use Only</t>
  </si>
  <si>
    <t xml:space="preserve">STB deployment forecast for additional deployment of  STB's - without HD but with DRM solution (Version 1.1)</t>
  </si>
  <si>
    <t xml:space="preserve">High Confidence (PO needed)</t>
  </si>
  <si>
    <t xml:space="preserve">Estimates</t>
  </si>
  <si>
    <t xml:space="preserve"> (to be ordered)</t>
  </si>
  <si>
    <t xml:space="preserve">Comments</t>
  </si>
  <si>
    <t xml:space="preserve">Contract to be negotiated</t>
  </si>
  <si>
    <t xml:space="preserve">Reflex</t>
  </si>
  <si>
    <t xml:space="preserve">Executed contract</t>
  </si>
  <si>
    <t xml:space="preserve">No discussion yet for additional deployment</t>
  </si>
  <si>
    <t xml:space="preserve">Fiber Ride</t>
  </si>
  <si>
    <t xml:space="preserve">Executed contract. According to M.H. their network is up and running.</t>
  </si>
  <si>
    <t xml:space="preserve">Qwest</t>
  </si>
  <si>
    <t xml:space="preserve">According to M.H, no possiblity for deployment of Version 1.1</t>
  </si>
  <si>
    <t xml:space="preserve">SBC</t>
  </si>
  <si>
    <t xml:space="preserve">Covad</t>
  </si>
  <si>
    <t xml:space="preserve">Tellus</t>
  </si>
  <si>
    <t xml:space="preserve">Corbin is on track for executing the contract.</t>
  </si>
  <si>
    <t xml:space="preserve">BT</t>
  </si>
  <si>
    <t xml:space="preserve">Notes:</t>
  </si>
  <si>
    <t xml:space="preserve">1) These are delivery dates by MOT. Assume 15 day lead time to deploy these systems.</t>
  </si>
  <si>
    <t xml:space="preserve">2) Motorola has communicated that is needs Purchase Orders at least 3 months in advance</t>
  </si>
  <si>
    <t xml:space="preserve">3) Motorola will like a 6 month forecast.</t>
  </si>
  <si>
    <t xml:space="preserve">4) Nov 15 STB's (in Gray) have already been ordered.</t>
  </si>
  <si>
    <t xml:space="preserve">Action Items:</t>
  </si>
  <si>
    <t xml:space="preserve">1) Motorola to get back with a specific date for the HD.  This functionality has two parts;a) Boxes are manufactured with HD </t>
  </si>
  <si>
    <t xml:space="preserve">b) Installing software, configuring network etc. to take advantage of HD.</t>
  </si>
  <si>
    <t xml:space="preserve">Engineering Service Charge</t>
  </si>
  <si>
    <t xml:space="preserve">PO:  4500057436</t>
  </si>
  <si>
    <t xml:space="preserve">Motorola Box Cost</t>
  </si>
  <si>
    <t xml:space="preserve">initial 1000 baxes</t>
  </si>
  <si>
    <t xml:space="preserve">in large scale</t>
  </si>
  <si>
    <t xml:space="preserve">Stella One Box Cost</t>
  </si>
  <si>
    <t xml:space="preserve">EBS Share of the Box Cost</t>
  </si>
  <si>
    <t xml:space="preserve">Box Installation</t>
  </si>
  <si>
    <t xml:space="preserve">per home for 2 hour installation</t>
  </si>
  <si>
    <t xml:space="preserve">Additional Equipment Cost</t>
  </si>
  <si>
    <t xml:space="preserve">Performance payment for partial delivery</t>
  </si>
  <si>
    <t xml:space="preserve">December</t>
  </si>
  <si>
    <t xml:space="preserve">Payment upon Completion</t>
  </si>
  <si>
    <t xml:space="preserve">Equipment Cost</t>
  </si>
  <si>
    <t xml:space="preserve">STB purchased from Motorola</t>
  </si>
  <si>
    <t xml:space="preserve">Assumptions in gray</t>
  </si>
  <si>
    <t xml:space="preserve">STB deployed</t>
  </si>
  <si>
    <t xml:space="preserve">STB Cost for Initial 1000 Boxes</t>
  </si>
  <si>
    <t xml:space="preserve">Total Box Cost ($000)</t>
  </si>
  <si>
    <t xml:space="preserve">Home Installation</t>
  </si>
  <si>
    <t xml:space="preserve">Addition Home Equipment</t>
  </si>
  <si>
    <t xml:space="preserve">1) From 1500 M2 ordered 1100 are being deployed; remaining are being used as spares and for testing.</t>
  </si>
  <si>
    <t xml:space="preserve">2)  The 400 boxes left over from Dec. deployment of 1100( go live )are:  120 for testing and 280 boxes for inventory.</t>
  </si>
  <si>
    <t xml:space="preserve">3)  Performance payment under discretion.  Looking to be paid in December per Brad Brooks.</t>
  </si>
  <si>
    <t xml:space="preserve">stb costs jan-march</t>
  </si>
  <si>
    <t xml:space="preserve">consulting</t>
  </si>
  <si>
    <t xml:space="preserve"> set top box costs aug-dec</t>
  </si>
  <si>
    <t xml:space="preserve">installation</t>
  </si>
  <si>
    <t xml:space="preserve">additional home equip</t>
  </si>
  <si>
    <t xml:space="preserve">InterTrust</t>
  </si>
  <si>
    <t xml:space="preserve">License Fee ($000)</t>
  </si>
  <si>
    <t xml:space="preserve">per year</t>
  </si>
  <si>
    <t xml:space="preserve">Quarterly Support Fee ($000)</t>
  </si>
  <si>
    <t xml:space="preserve">per quarter</t>
  </si>
  <si>
    <t xml:space="preserve">Content Transaction Charge</t>
  </si>
  <si>
    <t xml:space="preserve">per rental</t>
  </si>
  <si>
    <t xml:space="preserve">Other Product Revenue Charge</t>
  </si>
  <si>
    <t xml:space="preserve">of product revenue</t>
  </si>
  <si>
    <t xml:space="preserve">MacroVision</t>
  </si>
  <si>
    <t xml:space="preserve">One Time Royalty Fee ($000)</t>
  </si>
  <si>
    <t xml:space="preserve">Transaction Charge</t>
  </si>
  <si>
    <t xml:space="preserve">Movie Rental Price</t>
  </si>
  <si>
    <t xml:space="preserve">Total VoD Subsribers</t>
  </si>
  <si>
    <t xml:space="preserve">Movies ordered per year</t>
  </si>
  <si>
    <t xml:space="preserve">Average Movie Rentle Price</t>
  </si>
  <si>
    <t xml:space="preserve">InterTrust License Fee ($000)</t>
  </si>
  <si>
    <t xml:space="preserve">Content Transaction Fee</t>
  </si>
  <si>
    <t xml:space="preserve">MacroVision Royalty Fee</t>
  </si>
  <si>
    <t xml:space="preserve">Transaction Fee</t>
  </si>
  <si>
    <t xml:space="preserve">Total DRM Cost</t>
  </si>
  <si>
    <t xml:space="preserve">NOTES:</t>
  </si>
  <si>
    <t xml:space="preserve">1) Total VoD Subscribers based on STB Forecast tab.</t>
  </si>
  <si>
    <t xml:space="preserve">Initial movie titles</t>
  </si>
  <si>
    <t xml:space="preserve">Add new titles each month</t>
  </si>
  <si>
    <t xml:space="preserve">Cost per minute</t>
  </si>
  <si>
    <t xml:space="preserve">Average length per movie</t>
  </si>
  <si>
    <t xml:space="preserve">Compressed stream rate needed for VoD (Mbps)</t>
  </si>
  <si>
    <t xml:space="preserve">Peak Load for Users</t>
  </si>
  <si>
    <t xml:space="preserve">Streaming O&amp;M</t>
  </si>
  <si>
    <t xml:space="preserve">of server cost</t>
  </si>
  <si>
    <t xml:space="preserve">VOD Subscribers</t>
  </si>
  <si>
    <t xml:space="preserve">Maximum User</t>
  </si>
  <si>
    <t xml:space="preserve">Simutaneous Streams Provided by Servers</t>
  </si>
  <si>
    <t xml:space="preserve">Total Streaming Streaming Cost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</si>
</sst>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mmm\-yy"/>
    <numFmt numFmtId="166" formatCode="\$#,##0_);[RED]&quot;($&quot;#,##0\)"/>
    <numFmt numFmtId="167" formatCode="0%"/>
    <numFmt numFmtId="168" formatCode="_(* #,##0.00_);_(* \(#,##0.00\);_(* \-??_);_(@_)"/>
    <numFmt numFmtId="169" formatCode="_(* #,##0_);_(* \(#,##0\);_(* \-??_);_(@_)"/>
    <numFmt numFmtId="170" formatCode="_(* #,##0.0_);_(* \(#,##0.0\);_(* \-??_);_(@_)"/>
    <numFmt numFmtId="171" formatCode="\$#,##0.0_);[RED]&quot;($&quot;#,##0.0\)"/>
    <numFmt numFmtId="172" formatCode="_(* #,##0.000_);_(* \(#,##0.000\);_(* \-??_);_(@_)"/>
    <numFmt numFmtId="173" formatCode="0"/>
    <numFmt numFmtId="174" formatCode="dd\-mmm\-yy"/>
    <numFmt numFmtId="175" formatCode="_(\$* #,##0.00_);_(\$* \(#,##0.00\);_(\$* \-??_);_(@_)"/>
    <numFmt numFmtId="176" formatCode="_(\$* #,##0_);_(\$* \(#,##0\);_(\$* \-??_);_(@_)"/>
    <numFmt numFmtId="177" formatCode="0.0%"/>
    <numFmt numFmtId="178" formatCode="\$#,##0.00_);[RED]&quot;($&quot;#,##0.00\)"/>
    <numFmt numFmtId="179" formatCode="0.0"/>
    <numFmt numFmtId="180" formatCode="_(* #,##0_);_(* \(#,##0\);_(* \-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</font>
    <font>
      <b val="true"/>
      <sz val="11"/>
      <name val="Arial"/>
      <family val="2"/>
    </font>
    <font>
      <b val="true"/>
      <u val="single"/>
      <sz val="11"/>
      <name val="Arial"/>
      <family val="2"/>
    </font>
    <font>
      <i val="true"/>
      <sz val="11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i val="true"/>
      <sz val="11"/>
      <name val="Arial"/>
      <family val="2"/>
    </font>
    <font>
      <b val="true"/>
      <i val="true"/>
      <sz val="11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sz val="10"/>
      <color rgb="FF0000FF"/>
      <name val="Times New Roman"/>
      <family val="1"/>
    </font>
    <font>
      <i val="true"/>
      <sz val="10"/>
      <color rgb="FFFF0000"/>
      <name val="Arial"/>
      <family val="2"/>
    </font>
    <font>
      <sz val="10"/>
      <name val="Times New Roman"/>
      <family val="1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sz val="10"/>
      <color rgb="FF969696"/>
      <name val="Arial"/>
      <family val="2"/>
    </font>
    <font>
      <b val="true"/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808080"/>
        <bgColor rgb="FF969696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 style="medium"/>
      <right style="double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double"/>
      <top/>
      <bottom style="double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double"/>
      <top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uble"/>
      <top style="thin"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 style="medium"/>
      <right style="double"/>
      <top style="thin"/>
      <bottom style="double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8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8" borderId="1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8" borderId="3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8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8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AH-DF-01/DFS/Common/Houston/private/Blockbuster%20Team/Model/Models/Business%20Model/DSL%20Economics%2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TB"/>
      <sheetName val="Network"/>
      <sheetName val="Streaming"/>
      <sheetName val="Storage"/>
      <sheetName val="Encoding"/>
      <sheetName val="DRM"/>
      <sheetName val="LH Bandwidth"/>
      <sheetName val="Local Loop"/>
      <sheetName val="Distribution"/>
      <sheetName val="CRM"/>
      <sheetName val="O&amp;M"/>
      <sheetName val="Marketing"/>
      <sheetName val="Royalties"/>
      <sheetName val="Project CF"/>
      <sheetName val="Party CF"/>
      <sheetName val="ENE Per Sub"/>
      <sheetName val="BBI Per Sub"/>
      <sheetName val="ENE Per Rental"/>
      <sheetName val="Sensitivity"/>
      <sheetName val="Scenario"/>
      <sheetName val="Graphs"/>
      <sheetName val="Movie Specs"/>
      <sheetName val="Metro"/>
      <sheetName val="Local Circuit"/>
      <sheetName val="CS_Billing"/>
    </sheetNames>
    <sheetDataSet>
      <sheetData sheetId="0">
        <row r="39">
          <cell r="F39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1.13"/>
    <col collapsed="false" customWidth="true" hidden="false" outlineLevel="0" max="2" min="2" style="2" width="1.41"/>
    <col collapsed="false" customWidth="true" hidden="false" outlineLevel="0" max="3" min="3" style="2" width="21.84"/>
    <col collapsed="false" customWidth="true" hidden="false" outlineLevel="0" max="4" min="4" style="2" width="7.42"/>
    <col collapsed="false" customWidth="true" hidden="false" outlineLevel="0" max="5" min="5" style="2" width="11.28"/>
    <col collapsed="false" customWidth="true" hidden="false" outlineLevel="0" max="6" min="6" style="2" width="9.85"/>
    <col collapsed="false" customWidth="true" hidden="false" outlineLevel="0" max="7" min="7" style="2" width="9.41"/>
    <col collapsed="false" customWidth="true" hidden="false" outlineLevel="0" max="10" min="8" style="2" width="9.99"/>
    <col collapsed="false" customWidth="true" hidden="false" outlineLevel="0" max="11" min="11" style="2" width="12.85"/>
    <col collapsed="false" customWidth="true" hidden="false" outlineLevel="0" max="13" min="12" style="2" width="9.99"/>
    <col collapsed="false" customWidth="true" hidden="false" outlineLevel="0" max="14" min="14" style="2" width="11.7"/>
    <col collapsed="false" customWidth="true" hidden="false" outlineLevel="0" max="15" min="15" style="2" width="9.99"/>
    <col collapsed="false" customWidth="true" hidden="false" outlineLevel="0" max="17" min="16" style="2" width="12.85"/>
    <col collapsed="false" customWidth="true" hidden="false" outlineLevel="0" max="18" min="18" style="2" width="11.85"/>
    <col collapsed="false" customWidth="true" hidden="false" outlineLevel="0" max="19" min="19" style="2" width="1.41"/>
    <col collapsed="false" customWidth="false" hidden="false" outlineLevel="0" max="85" min="20" style="1" width="9.14"/>
    <col collapsed="false" customWidth="false" hidden="false" outlineLevel="0" max="257" min="86" style="2" width="9.14"/>
  </cols>
  <sheetData>
    <row r="1" customFormat="false" ht="15" hidden="false" customHeight="fals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6" t="s">
        <v>0</v>
      </c>
      <c r="P2" s="4"/>
      <c r="Q2" s="4"/>
      <c r="R2" s="4"/>
      <c r="S2" s="5"/>
    </row>
    <row r="3" customFormat="false" ht="15" hidden="false" customHeight="false" outlineLevel="0" collapsed="false">
      <c r="B3" s="7"/>
      <c r="C3" s="8"/>
      <c r="D3" s="8"/>
      <c r="E3" s="9" t="n">
        <v>36617</v>
      </c>
      <c r="F3" s="9" t="n">
        <v>36647</v>
      </c>
      <c r="G3" s="9" t="n">
        <v>36678</v>
      </c>
      <c r="H3" s="9" t="n">
        <v>36708</v>
      </c>
      <c r="I3" s="9" t="n">
        <v>36739</v>
      </c>
      <c r="J3" s="9" t="n">
        <v>36770</v>
      </c>
      <c r="K3" s="9" t="n">
        <v>36800</v>
      </c>
      <c r="L3" s="9" t="n">
        <v>36831</v>
      </c>
      <c r="M3" s="9" t="n">
        <v>36861</v>
      </c>
      <c r="N3" s="10" t="s">
        <v>1</v>
      </c>
      <c r="O3" s="9" t="n">
        <v>36892</v>
      </c>
      <c r="P3" s="9" t="n">
        <v>36923</v>
      </c>
      <c r="Q3" s="9" t="n">
        <v>36951</v>
      </c>
      <c r="R3" s="11" t="s">
        <v>2</v>
      </c>
      <c r="S3" s="12"/>
    </row>
    <row r="4" customFormat="false" ht="26.25" hidden="false" customHeight="false" outlineLevel="0" collapsed="false">
      <c r="B4" s="7"/>
      <c r="C4" s="13" t="s">
        <v>3</v>
      </c>
      <c r="D4" s="14" t="s">
        <v>4</v>
      </c>
      <c r="E4" s="9"/>
      <c r="F4" s="9"/>
      <c r="G4" s="9"/>
      <c r="H4" s="9"/>
      <c r="I4" s="9"/>
      <c r="J4" s="9"/>
      <c r="K4" s="9"/>
      <c r="L4" s="9"/>
      <c r="M4" s="9"/>
      <c r="N4" s="15"/>
      <c r="O4" s="9"/>
      <c r="P4" s="9"/>
      <c r="Q4" s="9"/>
      <c r="R4" s="16"/>
      <c r="S4" s="12"/>
    </row>
    <row r="5" customFormat="false" ht="27" hidden="false" customHeight="true" outlineLevel="0" collapsed="false">
      <c r="B5" s="7"/>
      <c r="C5" s="8" t="s">
        <v>5</v>
      </c>
      <c r="D5" s="17" t="n">
        <v>1</v>
      </c>
      <c r="E5" s="18" t="n">
        <f aca="false">nCube!D38*$D$5</f>
        <v>0</v>
      </c>
      <c r="F5" s="18" t="n">
        <f aca="false">nCube!E38*$D$5</f>
        <v>0</v>
      </c>
      <c r="G5" s="18" t="n">
        <f aca="false">nCube!F38*$D$5</f>
        <v>0</v>
      </c>
      <c r="H5" s="18" t="n">
        <f aca="false">nCube!G38*$D$5</f>
        <v>111.111111111111</v>
      </c>
      <c r="I5" s="18" t="n">
        <f aca="false">nCube!H38*$D$5</f>
        <v>1111.11111111111</v>
      </c>
      <c r="J5" s="18" t="n">
        <f aca="false">nCube!I38*$D$5</f>
        <v>111.111111111111</v>
      </c>
      <c r="K5" s="18" t="n">
        <f aca="false">nCube!J38*$D$5</f>
        <v>111.111111111111</v>
      </c>
      <c r="L5" s="18" t="n">
        <f aca="false">nCube!K38*$D$5</f>
        <v>111.111111111111</v>
      </c>
      <c r="M5" s="18" t="n">
        <f aca="false">nCube!L38*$D$5</f>
        <v>3111.11111111111</v>
      </c>
      <c r="N5" s="19" t="n">
        <f aca="false">SUM(E5:M5)</f>
        <v>4666.66666666667</v>
      </c>
      <c r="O5" s="18" t="n">
        <f aca="false">nCube!M38*$D$5</f>
        <v>111.111111111111</v>
      </c>
      <c r="P5" s="18" t="n">
        <f aca="false">nCube!N38*$D$5</f>
        <v>111.111111111111</v>
      </c>
      <c r="Q5" s="18" t="n">
        <f aca="false">nCube!O38*$D$5</f>
        <v>111.111111111111</v>
      </c>
      <c r="R5" s="20" t="n">
        <f aca="false">SUM(O5:Q5)</f>
        <v>333.333333333333</v>
      </c>
      <c r="S5" s="12"/>
    </row>
    <row r="6" customFormat="false" ht="25.5" hidden="false" customHeight="true" outlineLevel="0" collapsed="false">
      <c r="B6" s="7"/>
      <c r="C6" s="8" t="s">
        <v>6</v>
      </c>
      <c r="D6" s="17" t="n">
        <v>1</v>
      </c>
      <c r="E6" s="18" t="n">
        <f aca="false">STB!D25*$D$6</f>
        <v>0</v>
      </c>
      <c r="F6" s="18" t="n">
        <f aca="false">STB!E25*$D$6</f>
        <v>0</v>
      </c>
      <c r="G6" s="18" t="n">
        <f aca="false">STB!F25*$D$6</f>
        <v>0</v>
      </c>
      <c r="H6" s="18" t="n">
        <f aca="false">STB!G25*$D$6</f>
        <v>0</v>
      </c>
      <c r="I6" s="18" t="n">
        <f aca="false">STB!H25*$D$6</f>
        <v>56.5</v>
      </c>
      <c r="J6" s="18" t="n">
        <f aca="false">STB!I25*$D$6</f>
        <v>11.3</v>
      </c>
      <c r="K6" s="18" t="n">
        <f aca="false">STB!J25*$D$6</f>
        <v>566.13</v>
      </c>
      <c r="L6" s="18" t="n">
        <f aca="false">STB!K25*$D$6</f>
        <v>2130</v>
      </c>
      <c r="M6" s="18" t="n">
        <f aca="false">STB!L25*$D$6</f>
        <v>1875.5</v>
      </c>
      <c r="N6" s="19" t="n">
        <f aca="false">SUM(E6:M6)</f>
        <v>4639.43</v>
      </c>
      <c r="O6" s="18" t="n">
        <f aca="false">STB!M25*$D$6</f>
        <v>304</v>
      </c>
      <c r="P6" s="18" t="n">
        <f aca="false">STB!N25*$D$6</f>
        <v>1365.72</v>
      </c>
      <c r="Q6" s="18" t="n">
        <f aca="false">STB!O25*$D$6</f>
        <v>1140</v>
      </c>
      <c r="R6" s="20" t="n">
        <f aca="false">SUM(O6:Q6)</f>
        <v>2809.72</v>
      </c>
      <c r="S6" s="12"/>
    </row>
    <row r="7" customFormat="false" ht="25.5" hidden="false" customHeight="true" outlineLevel="0" collapsed="false">
      <c r="B7" s="7"/>
      <c r="C7" s="8" t="s">
        <v>7</v>
      </c>
      <c r="D7" s="17" t="n">
        <v>1</v>
      </c>
      <c r="E7" s="18" t="n">
        <f aca="false">DRM!D35*$D$7</f>
        <v>0</v>
      </c>
      <c r="F7" s="18" t="n">
        <f aca="false">DRM!E35*$D$7</f>
        <v>0</v>
      </c>
      <c r="G7" s="18" t="n">
        <f aca="false">DRM!F35*$D$7</f>
        <v>0</v>
      </c>
      <c r="H7" s="18" t="n">
        <f aca="false">DRM!G35*$D$7</f>
        <v>0</v>
      </c>
      <c r="I7" s="18" t="n">
        <f aca="false">DRM!H35*$D$7</f>
        <v>0</v>
      </c>
      <c r="J7" s="18" t="n">
        <f aca="false">DRM!I35*$D$7</f>
        <v>35</v>
      </c>
      <c r="K7" s="18" t="n">
        <f aca="false">DRM!J35*$D$7</f>
        <v>100</v>
      </c>
      <c r="L7" s="18" t="n">
        <f aca="false">DRM!K35*$D$7</f>
        <v>350</v>
      </c>
      <c r="M7" s="18" t="n">
        <f aca="false">DRM!L35*$D$7</f>
        <v>39.215552</v>
      </c>
      <c r="N7" s="19" t="n">
        <f aca="false">SUM(E7:M7)</f>
        <v>524.215552</v>
      </c>
      <c r="O7" s="18" t="n">
        <f aca="false">DRM!M35*$D$7</f>
        <v>5.74848</v>
      </c>
      <c r="P7" s="18" t="n">
        <f aca="false">DRM!N35*$D$7</f>
        <v>12.63515904</v>
      </c>
      <c r="Q7" s="18" t="n">
        <f aca="false">DRM!O35*$D$7</f>
        <v>53.38363904</v>
      </c>
      <c r="R7" s="20" t="n">
        <f aca="false">SUM(O7:Q7)</f>
        <v>71.76727808</v>
      </c>
      <c r="S7" s="12"/>
    </row>
    <row r="8" customFormat="false" ht="25.5" hidden="false" customHeight="true" outlineLevel="0" collapsed="false">
      <c r="B8" s="7"/>
      <c r="C8" s="8" t="s">
        <v>8</v>
      </c>
      <c r="D8" s="17" t="n">
        <v>1</v>
      </c>
      <c r="E8" s="18" t="n">
        <f aca="false">'Streaming Server'!C24*$D$8</f>
        <v>0</v>
      </c>
      <c r="F8" s="18" t="n">
        <f aca="false">'Streaming Server'!D24*$D$8</f>
        <v>0</v>
      </c>
      <c r="G8" s="18" t="n">
        <f aca="false">'Streaming Server'!E24*$D$8</f>
        <v>0</v>
      </c>
      <c r="H8" s="18" t="n">
        <f aca="false">'Streaming Server'!F24*$D$8</f>
        <v>0</v>
      </c>
      <c r="I8" s="18" t="n">
        <f aca="false">'Streaming Server'!G24*$D$8</f>
        <v>236.997283018868</v>
      </c>
      <c r="J8" s="18" t="n">
        <f aca="false">'Streaming Server'!H24*$D$8</f>
        <v>1736.97916981132</v>
      </c>
      <c r="K8" s="18" t="n">
        <f aca="false">'Streaming Server'!I24*$D$8</f>
        <v>0</v>
      </c>
      <c r="L8" s="18" t="n">
        <f aca="false">'Streaming Server'!J24*$D$8</f>
        <v>0</v>
      </c>
      <c r="M8" s="18" t="n">
        <f aca="false">'Streaming Server'!K24*$D$8</f>
        <v>0</v>
      </c>
      <c r="N8" s="19" t="n">
        <f aca="false">SUM(E8:M8)</f>
        <v>1973.97645283019</v>
      </c>
      <c r="O8" s="18" t="n">
        <f aca="false">'Streaming Server'!L24*$D$8</f>
        <v>160.198188679245</v>
      </c>
      <c r="P8" s="18" t="n">
        <f aca="false">'Streaming Server'!M24*$D$8</f>
        <v>160.198188679245</v>
      </c>
      <c r="Q8" s="18" t="n">
        <f aca="false">'Streaming Server'!N24*$D$8</f>
        <v>160.198188679245</v>
      </c>
      <c r="R8" s="20" t="n">
        <f aca="false">SUM(O8:Q8)</f>
        <v>480.594566037736</v>
      </c>
      <c r="S8" s="12"/>
    </row>
    <row r="9" customFormat="false" ht="25.5" hidden="false" customHeight="true" outlineLevel="0" collapsed="false">
      <c r="B9" s="7"/>
      <c r="C9" s="21" t="s">
        <v>9</v>
      </c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18"/>
      <c r="P9" s="18"/>
      <c r="Q9" s="18"/>
      <c r="R9" s="20"/>
      <c r="S9" s="12"/>
    </row>
    <row r="10" customFormat="false" ht="25.5" hidden="false" customHeight="true" outlineLevel="0" collapsed="false">
      <c r="B10" s="7"/>
      <c r="C10" s="8" t="s">
        <v>10</v>
      </c>
      <c r="D10" s="17"/>
      <c r="E10" s="18"/>
      <c r="F10" s="18"/>
      <c r="G10" s="18"/>
      <c r="H10" s="18"/>
      <c r="I10" s="18"/>
      <c r="J10" s="18"/>
      <c r="K10" s="18"/>
      <c r="L10" s="18"/>
      <c r="M10" s="22" t="n">
        <v>899.5</v>
      </c>
      <c r="N10" s="19" t="n">
        <f aca="false">SUM(E10:M10)</f>
        <v>899.5</v>
      </c>
      <c r="O10" s="18"/>
      <c r="P10" s="18"/>
      <c r="Q10" s="18"/>
      <c r="R10" s="20"/>
      <c r="S10" s="12"/>
    </row>
    <row r="11" customFormat="false" ht="25.5" hidden="false" customHeight="true" outlineLevel="0" collapsed="false">
      <c r="B11" s="7"/>
      <c r="C11" s="8" t="s">
        <v>11</v>
      </c>
      <c r="D11" s="17"/>
      <c r="E11" s="18"/>
      <c r="F11" s="18"/>
      <c r="G11" s="18"/>
      <c r="H11" s="18"/>
      <c r="I11" s="18"/>
      <c r="J11" s="18"/>
      <c r="K11" s="18"/>
      <c r="L11" s="18"/>
      <c r="M11" s="22" t="n">
        <v>186.4</v>
      </c>
      <c r="N11" s="19" t="n">
        <f aca="false">SUM(E11:M11)</f>
        <v>186.4</v>
      </c>
      <c r="O11" s="18"/>
      <c r="P11" s="18"/>
      <c r="Q11" s="18"/>
      <c r="R11" s="20"/>
      <c r="S11" s="12"/>
    </row>
    <row r="12" customFormat="false" ht="25.5" hidden="false" customHeight="true" outlineLevel="0" collapsed="false">
      <c r="B12" s="7"/>
      <c r="C12" s="8" t="s">
        <v>12</v>
      </c>
      <c r="D12" s="17"/>
      <c r="E12" s="18"/>
      <c r="F12" s="18"/>
      <c r="G12" s="18"/>
      <c r="H12" s="18"/>
      <c r="I12" s="18"/>
      <c r="J12" s="18"/>
      <c r="K12" s="18"/>
      <c r="L12" s="18"/>
      <c r="M12" s="22" t="n">
        <v>77.135</v>
      </c>
      <c r="N12" s="19" t="n">
        <f aca="false">SUM(E12:M12)</f>
        <v>77.135</v>
      </c>
      <c r="O12" s="18"/>
      <c r="P12" s="18"/>
      <c r="Q12" s="18"/>
      <c r="R12" s="20"/>
      <c r="S12" s="12"/>
    </row>
    <row r="13" customFormat="false" ht="25.5" hidden="false" customHeight="true" outlineLevel="0" collapsed="false">
      <c r="B13" s="7"/>
      <c r="C13" s="8" t="s">
        <v>13</v>
      </c>
      <c r="D13" s="17"/>
      <c r="E13" s="18"/>
      <c r="F13" s="18"/>
      <c r="G13" s="18"/>
      <c r="H13" s="18"/>
      <c r="I13" s="18"/>
      <c r="J13" s="18"/>
      <c r="K13" s="18"/>
      <c r="L13" s="18"/>
      <c r="M13" s="22" t="n">
        <v>26.84</v>
      </c>
      <c r="N13" s="19" t="n">
        <f aca="false">SUM(E13:M13)</f>
        <v>26.84</v>
      </c>
      <c r="O13" s="18"/>
      <c r="P13" s="18"/>
      <c r="Q13" s="18"/>
      <c r="R13" s="20"/>
      <c r="S13" s="12"/>
    </row>
    <row r="14" customFormat="false" ht="25.5" hidden="false" customHeight="true" outlineLevel="0" collapsed="false">
      <c r="B14" s="7"/>
      <c r="C14" s="8" t="s">
        <v>14</v>
      </c>
      <c r="D14" s="17"/>
      <c r="E14" s="18"/>
      <c r="F14" s="18"/>
      <c r="G14" s="18"/>
      <c r="H14" s="18"/>
      <c r="I14" s="18"/>
      <c r="J14" s="18"/>
      <c r="K14" s="18"/>
      <c r="L14" s="18"/>
      <c r="M14" s="22" t="n">
        <v>30</v>
      </c>
      <c r="N14" s="19" t="n">
        <f aca="false">SUM(E14:M14)</f>
        <v>30</v>
      </c>
      <c r="O14" s="18"/>
      <c r="P14" s="18"/>
      <c r="Q14" s="18"/>
      <c r="R14" s="20"/>
      <c r="S14" s="12"/>
    </row>
    <row r="15" customFormat="false" ht="25.5" hidden="false" customHeight="true" outlineLevel="0" collapsed="false">
      <c r="B15" s="7"/>
      <c r="C15" s="8" t="s">
        <v>15</v>
      </c>
      <c r="D15" s="17"/>
      <c r="E15" s="18"/>
      <c r="F15" s="18"/>
      <c r="G15" s="18"/>
      <c r="H15" s="18"/>
      <c r="I15" s="18"/>
      <c r="J15" s="18"/>
      <c r="K15" s="18"/>
      <c r="L15" s="18"/>
      <c r="M15" s="22" t="n">
        <v>100</v>
      </c>
      <c r="N15" s="19" t="n">
        <f aca="false">SUM(E15:M15)</f>
        <v>100</v>
      </c>
      <c r="O15" s="18"/>
      <c r="P15" s="18"/>
      <c r="Q15" s="18"/>
      <c r="R15" s="20"/>
      <c r="S15" s="12"/>
    </row>
    <row r="16" customFormat="false" ht="12.75" hidden="false" customHeight="true" outlineLevel="0" collapsed="false">
      <c r="B16" s="7"/>
      <c r="C16" s="8"/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20"/>
      <c r="S16" s="12"/>
    </row>
    <row r="17" customFormat="false" ht="25.5" hidden="false" customHeight="true" outlineLevel="0" collapsed="false">
      <c r="A17" s="23"/>
      <c r="B17" s="24"/>
      <c r="C17" s="25" t="s">
        <v>16</v>
      </c>
      <c r="D17" s="26"/>
      <c r="E17" s="27" t="n">
        <f aca="false">SUM(E5:E8)</f>
        <v>0</v>
      </c>
      <c r="F17" s="27" t="n">
        <f aca="false">SUM(F5:F8)</f>
        <v>0</v>
      </c>
      <c r="G17" s="27" t="n">
        <f aca="false">SUM(G5:G8)</f>
        <v>0</v>
      </c>
      <c r="H17" s="27" t="n">
        <f aca="false">SUM(H5:H8)</f>
        <v>111.111111111111</v>
      </c>
      <c r="I17" s="27" t="n">
        <f aca="false">SUM(I5:I8)</f>
        <v>1404.60839412998</v>
      </c>
      <c r="J17" s="27" t="n">
        <f aca="false">SUM(J5:J8)</f>
        <v>1894.39028092243</v>
      </c>
      <c r="K17" s="27" t="n">
        <f aca="false">SUM(K5:K8)</f>
        <v>777.241111111111</v>
      </c>
      <c r="L17" s="27" t="n">
        <f aca="false">SUM(L5:L8)</f>
        <v>2591.11111111111</v>
      </c>
      <c r="M17" s="27" t="n">
        <f aca="false">SUM(M5:M15)</f>
        <v>6345.70166311111</v>
      </c>
      <c r="N17" s="28" t="n">
        <f aca="false">SUM(E17:M17)</f>
        <v>13124.1636714969</v>
      </c>
      <c r="O17" s="27" t="n">
        <f aca="false">SUM(O5:O16)</f>
        <v>581.057779790356</v>
      </c>
      <c r="P17" s="27" t="n">
        <f aca="false">SUM(P5:P16)</f>
        <v>1649.66445883036</v>
      </c>
      <c r="Q17" s="27" t="n">
        <f aca="false">SUM(Q5:Q16)</f>
        <v>1464.69293883036</v>
      </c>
      <c r="R17" s="29" t="n">
        <f aca="false">SUM(O17:Q17)</f>
        <v>3695.41517745107</v>
      </c>
      <c r="S17" s="30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</row>
    <row r="18" customFormat="false" ht="25.5" hidden="false" customHeight="true" outlineLevel="0" collapsed="false">
      <c r="A18" s="32"/>
      <c r="B18" s="33"/>
      <c r="C18" s="34" t="s">
        <v>17</v>
      </c>
      <c r="D18" s="35"/>
      <c r="E18" s="36" t="n">
        <f aca="false">SUM($E$17:E17)</f>
        <v>0</v>
      </c>
      <c r="F18" s="36" t="n">
        <f aca="false">SUM($E$17:F17)</f>
        <v>0</v>
      </c>
      <c r="G18" s="36" t="n">
        <f aca="false">SUM($E$17:G17)</f>
        <v>0</v>
      </c>
      <c r="H18" s="36" t="n">
        <f aca="false">SUM($E$17:H17)</f>
        <v>111.111111111111</v>
      </c>
      <c r="I18" s="36" t="n">
        <f aca="false">SUM($E$17:I17)</f>
        <v>1515.71950524109</v>
      </c>
      <c r="J18" s="36" t="n">
        <f aca="false">SUM($E$17:J17)</f>
        <v>3410.10978616352</v>
      </c>
      <c r="K18" s="36" t="n">
        <f aca="false">SUM($E$17:K17)</f>
        <v>4187.35089727463</v>
      </c>
      <c r="L18" s="36" t="n">
        <f aca="false">SUM($E$17:L17)</f>
        <v>6778.46200838574</v>
      </c>
      <c r="M18" s="36" t="n">
        <f aca="false">SUM($E$17:M17)</f>
        <v>13124.1636714969</v>
      </c>
      <c r="N18" s="37"/>
      <c r="O18" s="38" t="n">
        <f aca="false">SUM($O$17:O17)</f>
        <v>581.057779790356</v>
      </c>
      <c r="P18" s="38" t="n">
        <f aca="false">SUM($O$17:P17)</f>
        <v>2230.72223862071</v>
      </c>
      <c r="Q18" s="38" t="n">
        <f aca="false">SUM($O$17:Q17)</f>
        <v>3695.41517745107</v>
      </c>
      <c r="R18" s="39"/>
      <c r="S18" s="40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</row>
    <row r="19" customFormat="false" ht="15.75" hidden="false" customHeight="false" outlineLevel="0" collapsed="false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43"/>
      <c r="Q19" s="43"/>
      <c r="R19" s="43"/>
      <c r="S19" s="44"/>
    </row>
    <row r="20" customFormat="false" ht="13.5" hidden="false" customHeight="false" outlineLevel="0" collapsed="false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</row>
    <row r="21" customFormat="false" ht="15" hidden="false" customHeight="false" outlineLevel="0" collapsed="false">
      <c r="A21" s="45"/>
      <c r="B21" s="45"/>
      <c r="C21" s="46" t="s">
        <v>18</v>
      </c>
      <c r="D21" s="47"/>
      <c r="E21" s="47"/>
      <c r="F21" s="48" t="n">
        <f aca="false">N17</f>
        <v>13124.1636714969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15.75" hidden="false" customHeight="false" outlineLevel="0" collapsed="false">
      <c r="A22" s="45"/>
      <c r="B22" s="45"/>
      <c r="C22" s="49"/>
      <c r="D22" s="50"/>
      <c r="E22" s="50"/>
      <c r="F22" s="51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15" hidden="false" customHeight="false" outlineLevel="0" collapsed="false">
      <c r="A23" s="45"/>
      <c r="B23" s="45"/>
      <c r="C23" s="52" t="s">
        <v>19</v>
      </c>
      <c r="D23" s="1"/>
      <c r="E23" s="1"/>
      <c r="F23" s="1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14.25" hidden="false" customHeight="false" outlineLevel="0" collapsed="false">
      <c r="A24" s="45"/>
      <c r="B24" s="45"/>
      <c r="C24" s="2" t="s">
        <v>20</v>
      </c>
      <c r="D24" s="1"/>
      <c r="E24" s="1"/>
      <c r="F24" s="1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14.25" hidden="false" customHeight="false" outlineLevel="0" collapsed="false">
      <c r="A25" s="45"/>
      <c r="B25" s="45"/>
      <c r="C25" s="1" t="s">
        <v>21</v>
      </c>
      <c r="D25" s="1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</row>
    <row r="26" customFormat="false" ht="12.75" hidden="false" customHeight="false" outlineLevel="0" collapsed="false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  <c r="IW26" s="45"/>
    </row>
    <row r="27" customFormat="false" ht="12.75" hidden="false" customHeight="false" outlineLevel="0" collapsed="false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  <c r="IW27" s="45"/>
    </row>
    <row r="28" customFormat="false" ht="12.75" hidden="false" customHeight="false" outlineLevel="0" collapsed="false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  <c r="IS28" s="45"/>
      <c r="IT28" s="45"/>
      <c r="IU28" s="45"/>
      <c r="IV28" s="45"/>
      <c r="IW28" s="45"/>
    </row>
    <row r="29" customFormat="false" ht="12.75" hidden="false" customHeight="false" outlineLevel="0" collapsed="false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  <c r="IW29" s="45"/>
    </row>
    <row r="30" customFormat="false" ht="14.25" hidden="false" customHeight="false" outlineLevel="0" collapsed="false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4.25" hidden="false" customHeight="false" outlineLevel="0" collapsed="false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4.25" hidden="false" customHeight="false" outlineLevel="0" collapsed="false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4.25" hidden="false" customHeight="false" outlineLevel="0" collapsed="false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4.25" hidden="false" customHeight="false" outlineLevel="0" collapsed="false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4.25" hidden="false" customHeight="false" outlineLevel="0" collapsed="false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4.25" hidden="false" customHeight="false" outlineLevel="0" collapsed="false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4.25" hidden="false" customHeight="false" outlineLevel="0" collapsed="false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4.25" hidden="false" customHeight="false" outlineLevel="0" collapsed="false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4.25" hidden="false" customHeight="false" outlineLevel="0" collapsed="false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4.25" hidden="false" customHeight="false" outlineLevel="0" collapsed="false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4.25" hidden="false" customHeight="false" outlineLevel="0" collapsed="false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4.25" hidden="false" customHeight="false" outlineLevel="0" collapsed="false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4.25" hidden="false" customHeight="false" outlineLevel="0" collapsed="false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4.25" hidden="false" customHeight="false" outlineLevel="0" collapsed="false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4.25" hidden="false" customHeight="false" outlineLevel="0" collapsed="false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4.25" hidden="false" customHeight="false" outlineLevel="0" collapsed="false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4.25" hidden="false" customHeight="false" outlineLevel="0" collapsed="false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4.25" hidden="false" customHeight="false" outlineLevel="0" collapsed="false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4.25" hidden="false" customHeight="false" outlineLevel="0" collapsed="false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4.25" hidden="false" customHeight="false" outlineLevel="0" collapsed="false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4.25" hidden="false" customHeight="false" outlineLevel="0" collapsed="false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4.25" hidden="false" customHeight="false" outlineLevel="0" collapsed="false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4.25" hidden="false" customHeight="false" outlineLevel="0" collapsed="false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4.25" hidden="false" customHeight="false" outlineLevel="0" collapsed="false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4.25" hidden="false" customHeight="false" outlineLevel="0" collapsed="false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4.25" hidden="false" customHeight="false" outlineLevel="0" collapsed="false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4.25" hidden="false" customHeight="false" outlineLevel="0" collapsed="false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4.25" hidden="false" customHeight="false" outlineLevel="0" collapsed="false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4.25" hidden="false" customHeight="false" outlineLevel="0" collapsed="false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4.25" hidden="false" customHeight="false" outlineLevel="0" collapsed="false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4.25" hidden="false" customHeight="false" outlineLevel="0" collapsed="false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4.25" hidden="false" customHeight="false" outlineLevel="0" collapsed="false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4.25" hidden="false" customHeight="false" outlineLevel="0" collapsed="false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4.25" hidden="false" customHeight="false" outlineLevel="0" collapsed="false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4.25" hidden="false" customHeight="false" outlineLevel="0" collapsed="false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4.25" hidden="false" customHeight="false" outlineLevel="0" collapsed="false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4.25" hidden="false" customHeight="false" outlineLevel="0" collapsed="false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4.25" hidden="false" customHeight="false" outlineLevel="0" collapsed="false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4.25" hidden="false" customHeight="false" outlineLevel="0" collapsed="false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4.25" hidden="false" customHeight="false" outlineLevel="0" collapsed="false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4.25" hidden="false" customHeight="false" outlineLevel="0" collapsed="false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4.25" hidden="false" customHeight="false" outlineLevel="0" collapsed="false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4.25" hidden="false" customHeight="false" outlineLevel="0" collapsed="false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4.25" hidden="false" customHeight="false" outlineLevel="0" collapsed="false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4.25" hidden="false" customHeight="false" outlineLevel="0" collapsed="false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4.25" hidden="false" customHeight="false" outlineLevel="0" collapsed="false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4.25" hidden="false" customHeight="false" outlineLevel="0" collapsed="false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4.25" hidden="false" customHeight="false" outlineLevel="0" collapsed="false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4.25" hidden="false" customHeight="false" outlineLevel="0" collapsed="false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4.25" hidden="false" customHeight="false" outlineLevel="0" collapsed="false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4.25" hidden="false" customHeight="false" outlineLevel="0" collapsed="false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4.25" hidden="false" customHeight="false" outlineLevel="0" collapsed="false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4.25" hidden="false" customHeight="false" outlineLevel="0" collapsed="false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4.25" hidden="false" customHeight="false" outlineLevel="0" collapsed="false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4.25" hidden="false" customHeight="false" outlineLevel="0" collapsed="false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4.25" hidden="false" customHeight="false" outlineLevel="0" collapsed="false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4.25" hidden="false" customHeight="false" outlineLevel="0" collapsed="false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4.25" hidden="false" customHeight="false" outlineLevel="0" collapsed="false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4.25" hidden="false" customHeight="false" outlineLevel="0" collapsed="false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4.25" hidden="false" customHeight="false" outlineLevel="0" collapsed="false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4.25" hidden="false" customHeight="false" outlineLevel="0" collapsed="false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4.25" hidden="false" customHeight="false" outlineLevel="0" collapsed="false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4.25" hidden="false" customHeight="false" outlineLevel="0" collapsed="false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4.25" hidden="false" customHeight="false" outlineLevel="0" collapsed="false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4.25" hidden="false" customHeight="false" outlineLevel="0" collapsed="false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4.25" hidden="false" customHeight="false" outlineLevel="0" collapsed="false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4.25" hidden="false" customHeight="false" outlineLevel="0" collapsed="false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4.25" hidden="false" customHeight="false" outlineLevel="0" collapsed="false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4.25" hidden="false" customHeight="false" outlineLevel="0" collapsed="false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4.25" hidden="false" customHeight="false" outlineLevel="0" collapsed="false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4.25" hidden="false" customHeight="false" outlineLevel="0" collapsed="false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4.25" hidden="false" customHeight="false" outlineLevel="0" collapsed="false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4.25" hidden="false" customHeight="false" outlineLevel="0" collapsed="false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4.25" hidden="false" customHeight="false" outlineLevel="0" collapsed="false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4.25" hidden="false" customHeight="false" outlineLevel="0" collapsed="false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4.25" hidden="false" customHeight="false" outlineLevel="0" collapsed="false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4.25" hidden="false" customHeight="false" outlineLevel="0" collapsed="false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4.25" hidden="false" customHeight="false" outlineLevel="0" collapsed="false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4.25" hidden="false" customHeight="false" outlineLevel="0" collapsed="false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4.25" hidden="false" customHeight="false" outlineLevel="0" collapsed="false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4.25" hidden="false" customHeight="false" outlineLevel="0" collapsed="false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14.25" hidden="false" customHeight="false" outlineLevel="0" collapsed="false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4.25" hidden="false" customHeight="false" outlineLevel="0" collapsed="false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4.25" hidden="false" customHeight="false" outlineLevel="0" collapsed="false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4.25" hidden="false" customHeight="false" outlineLevel="0" collapsed="false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4.25" hidden="false" customHeight="false" outlineLevel="0" collapsed="false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14.25" hidden="false" customHeight="false" outlineLevel="0" collapsed="false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4.25" hidden="false" customHeight="false" outlineLevel="0" collapsed="false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4.25" hidden="false" customHeight="false" outlineLevel="0" collapsed="false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4.25" hidden="false" customHeight="false" outlineLevel="0" collapsed="false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4.25" hidden="false" customHeight="false" outlineLevel="0" collapsed="false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4.25" hidden="false" customHeight="false" outlineLevel="0" collapsed="false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4.25" hidden="false" customHeight="false" outlineLevel="0" collapsed="false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4.25" hidden="false" customHeight="false" outlineLevel="0" collapsed="false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14.25" hidden="false" customHeight="false" outlineLevel="0" collapsed="false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4.25" hidden="false" customHeight="false" outlineLevel="0" collapsed="false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14.25" hidden="false" customHeight="false" outlineLevel="0" collapsed="false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4.25" hidden="false" customHeight="false" outlineLevel="0" collapsed="false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4.25" hidden="false" customHeight="false" outlineLevel="0" collapsed="false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4.25" hidden="false" customHeight="false" outlineLevel="0" collapsed="false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4.25" hidden="false" customHeight="false" outlineLevel="0" collapsed="false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14.25" hidden="false" customHeight="false" outlineLevel="0" collapsed="false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4.25" hidden="false" customHeight="false" outlineLevel="0" collapsed="false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4.25" hidden="false" customHeight="false" outlineLevel="0" collapsed="false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14.25" hidden="false" customHeight="false" outlineLevel="0" collapsed="false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4.25" hidden="false" customHeight="false" outlineLevel="0" collapsed="false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4.25" hidden="false" customHeight="false" outlineLevel="0" collapsed="false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4.25" hidden="false" customHeight="false" outlineLevel="0" collapsed="false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4.25" hidden="false" customHeight="false" outlineLevel="0" collapsed="false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4.25" hidden="false" customHeight="false" outlineLevel="0" collapsed="false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4.25" hidden="false" customHeight="false" outlineLevel="0" collapsed="false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14.25" hidden="false" customHeight="false" outlineLevel="0" collapsed="false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4.25" hidden="false" customHeight="false" outlineLevel="0" collapsed="false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4.25" hidden="false" customHeight="false" outlineLevel="0" collapsed="false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4.25" hidden="false" customHeight="false" outlineLevel="0" collapsed="false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4.25" hidden="false" customHeight="false" outlineLevel="0" collapsed="false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4.25" hidden="false" customHeight="false" outlineLevel="0" collapsed="false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4.25" hidden="false" customHeight="false" outlineLevel="0" collapsed="false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4.25" hidden="false" customHeight="false" outlineLevel="0" collapsed="false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4.25" hidden="false" customHeight="false" outlineLevel="0" collapsed="false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4.25" hidden="false" customHeight="false" outlineLevel="0" collapsed="false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4.25" hidden="false" customHeight="false" outlineLevel="0" collapsed="false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4.25" hidden="false" customHeight="false" outlineLevel="0" collapsed="false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4.25" hidden="false" customHeight="false" outlineLevel="0" collapsed="false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4.25" hidden="false" customHeight="false" outlineLevel="0" collapsed="false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4.25" hidden="false" customHeight="false" outlineLevel="0" collapsed="false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4.25" hidden="false" customHeight="false" outlineLevel="0" collapsed="false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4.25" hidden="false" customHeight="false" outlineLevel="0" collapsed="false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4.25" hidden="false" customHeight="false" outlineLevel="0" collapsed="false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4.25" hidden="false" customHeight="false" outlineLevel="0" collapsed="false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4.25" hidden="false" customHeight="false" outlineLevel="0" collapsed="false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4.25" hidden="false" customHeight="false" outlineLevel="0" collapsed="false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4.25" hidden="false" customHeight="false" outlineLevel="0" collapsed="false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4.25" hidden="false" customHeight="false" outlineLevel="0" collapsed="false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4.25" hidden="false" customHeight="false" outlineLevel="0" collapsed="false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4.25" hidden="false" customHeight="false" outlineLevel="0" collapsed="false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4.25" hidden="false" customHeight="false" outlineLevel="0" collapsed="false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4.25" hidden="false" customHeight="false" outlineLevel="0" collapsed="false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4.25" hidden="false" customHeight="false" outlineLevel="0" collapsed="false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4.25" hidden="false" customHeight="false" outlineLevel="0" collapsed="false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4.25" hidden="false" customHeight="false" outlineLevel="0" collapsed="false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4.25" hidden="false" customHeight="false" outlineLevel="0" collapsed="false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4.25" hidden="false" customHeight="false" outlineLevel="0" collapsed="false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4.25" hidden="false" customHeight="false" outlineLevel="0" collapsed="false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4.25" hidden="false" customHeight="false" outlineLevel="0" collapsed="false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4.25" hidden="false" customHeight="false" outlineLevel="0" collapsed="false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4.25" hidden="false" customHeight="false" outlineLevel="0" collapsed="false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4.25" hidden="false" customHeight="false" outlineLevel="0" collapsed="false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4.25" hidden="false" customHeight="false" outlineLevel="0" collapsed="false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4.25" hidden="false" customHeight="false" outlineLevel="0" collapsed="false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4.25" hidden="false" customHeight="false" outlineLevel="0" collapsed="false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4.25" hidden="false" customHeight="false" outlineLevel="0" collapsed="false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4.25" hidden="false" customHeight="false" outlineLevel="0" collapsed="false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4.25" hidden="false" customHeight="false" outlineLevel="0" collapsed="false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4.25" hidden="false" customHeight="false" outlineLevel="0" collapsed="false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4.25" hidden="false" customHeight="false" outlineLevel="0" collapsed="false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4.25" hidden="false" customHeight="false" outlineLevel="0" collapsed="false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4.25" hidden="false" customHeight="false" outlineLevel="0" collapsed="false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4.25" hidden="false" customHeight="false" outlineLevel="0" collapsed="false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4.25" hidden="false" customHeight="false" outlineLevel="0" collapsed="false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4.25" hidden="false" customHeight="false" outlineLevel="0" collapsed="false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4.25" hidden="false" customHeight="false" outlineLevel="0" collapsed="false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4.25" hidden="false" customHeight="false" outlineLevel="0" collapsed="false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4.25" hidden="false" customHeight="false" outlineLevel="0" collapsed="false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4.25" hidden="false" customHeight="false" outlineLevel="0" collapsed="false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4.25" hidden="false" customHeight="false" outlineLevel="0" collapsed="false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4.25" hidden="false" customHeight="false" outlineLevel="0" collapsed="false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4.25" hidden="false" customHeight="false" outlineLevel="0" collapsed="false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4.25" hidden="false" customHeight="false" outlineLevel="0" collapsed="false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4.25" hidden="false" customHeight="false" outlineLevel="0" collapsed="false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4.25" hidden="false" customHeight="false" outlineLevel="0" collapsed="false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4.25" hidden="false" customHeight="false" outlineLevel="0" collapsed="false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4.25" hidden="false" customHeight="false" outlineLevel="0" collapsed="false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4.25" hidden="false" customHeight="false" outlineLevel="0" collapsed="false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4.25" hidden="false" customHeight="false" outlineLevel="0" collapsed="false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4.25" hidden="false" customHeight="false" outlineLevel="0" collapsed="false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4.25" hidden="false" customHeight="false" outlineLevel="0" collapsed="false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4.25" hidden="false" customHeight="false" outlineLevel="0" collapsed="false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4.25" hidden="false" customHeight="false" outlineLevel="0" collapsed="false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4.25" hidden="false" customHeight="false" outlineLevel="0" collapsed="false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4.25" hidden="false" customHeight="false" outlineLevel="0" collapsed="false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4.25" hidden="false" customHeight="false" outlineLevel="0" collapsed="false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4.25" hidden="false" customHeight="false" outlineLevel="0" collapsed="false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4.25" hidden="false" customHeight="false" outlineLevel="0" collapsed="false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4.25" hidden="false" customHeight="false" outlineLevel="0" collapsed="false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4.25" hidden="false" customHeight="false" outlineLevel="0" collapsed="false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4.25" hidden="false" customHeight="false" outlineLevel="0" collapsed="false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4.25" hidden="false" customHeight="false" outlineLevel="0" collapsed="false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4.25" hidden="false" customHeight="false" outlineLevel="0" collapsed="false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4.25" hidden="false" customHeight="false" outlineLevel="0" collapsed="false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4.25" hidden="false" customHeight="false" outlineLevel="0" collapsed="false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4.25" hidden="false" customHeight="false" outlineLevel="0" collapsed="false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4.25" hidden="false" customHeight="false" outlineLevel="0" collapsed="false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4.25" hidden="false" customHeight="false" outlineLevel="0" collapsed="false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4.25" hidden="false" customHeight="false" outlineLevel="0" collapsed="false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4.25" hidden="false" customHeight="false" outlineLevel="0" collapsed="false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4.25" hidden="false" customHeight="false" outlineLevel="0" collapsed="false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3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31.42"/>
    <col collapsed="false" customWidth="true" hidden="false" outlineLevel="0" max="3" min="3" style="0" width="2.7"/>
    <col collapsed="false" customWidth="true" hidden="false" outlineLevel="0" max="11" min="4" style="0" width="9.28"/>
    <col collapsed="false" customWidth="true" hidden="false" outlineLevel="0" max="12" min="12" style="0" width="9.56"/>
    <col collapsed="false" customWidth="true" hidden="false" outlineLevel="0" max="15" min="13" style="0" width="10.28"/>
  </cols>
  <sheetData>
    <row r="2" customFormat="false" ht="12.75" hidden="false" customHeight="false" outlineLevel="0" collapsed="false">
      <c r="B2" s="53" t="s">
        <v>22</v>
      </c>
    </row>
    <row r="4" customFormat="false" ht="12.75" hidden="false" customHeight="false" outlineLevel="0" collapsed="false">
      <c r="B4" s="0" t="s">
        <v>23</v>
      </c>
      <c r="D4" s="54" t="n">
        <v>0.5</v>
      </c>
      <c r="I4" s="55"/>
    </row>
    <row r="5" customFormat="false" ht="12.75" hidden="false" customHeight="false" outlineLevel="0" collapsed="false">
      <c r="B5" s="0" t="s">
        <v>24</v>
      </c>
      <c r="D5" s="56" t="n">
        <v>6</v>
      </c>
    </row>
    <row r="6" customFormat="false" ht="12.75" hidden="false" customHeight="false" outlineLevel="0" collapsed="false">
      <c r="B6" s="0" t="s">
        <v>25</v>
      </c>
      <c r="D6" s="57" t="s">
        <v>26</v>
      </c>
    </row>
    <row r="7" customFormat="false" ht="12.75" hidden="false" customHeight="false" outlineLevel="0" collapsed="false">
      <c r="D7" s="55"/>
    </row>
    <row r="9" customFormat="false" ht="12.75" hidden="false" customHeight="false" outlineLevel="0" collapsed="false">
      <c r="D9" s="58" t="n">
        <v>36617</v>
      </c>
      <c r="E9" s="58" t="n">
        <v>36647</v>
      </c>
      <c r="F9" s="58" t="n">
        <v>36678</v>
      </c>
      <c r="G9" s="58" t="n">
        <v>36708</v>
      </c>
      <c r="H9" s="58" t="n">
        <v>36739</v>
      </c>
      <c r="I9" s="58" t="n">
        <v>36770</v>
      </c>
      <c r="J9" s="58" t="n">
        <v>36800</v>
      </c>
      <c r="K9" s="58" t="n">
        <v>36831</v>
      </c>
      <c r="L9" s="58" t="n">
        <v>36861</v>
      </c>
      <c r="M9" s="58" t="n">
        <v>36892</v>
      </c>
      <c r="N9" s="58" t="n">
        <v>36923</v>
      </c>
      <c r="O9" s="58" t="n">
        <v>36951</v>
      </c>
    </row>
    <row r="10" customFormat="false" ht="13.5" hidden="false" customHeight="false" outlineLevel="0" collapsed="false">
      <c r="B10" s="0" t="s">
        <v>27</v>
      </c>
      <c r="L10" s="0" t="n">
        <v>1100</v>
      </c>
      <c r="M10" s="0" t="n">
        <v>400</v>
      </c>
      <c r="N10" s="0" t="n">
        <v>1797</v>
      </c>
      <c r="O10" s="0" t="n">
        <v>1500</v>
      </c>
    </row>
    <row r="11" customFormat="false" ht="13.5" hidden="false" customHeight="false" outlineLevel="0" collapsed="false">
      <c r="B11" s="0" t="s">
        <v>28</v>
      </c>
      <c r="D11" s="59" t="n">
        <f aca="false">STB!D15</f>
        <v>0</v>
      </c>
      <c r="E11" s="59" t="n">
        <f aca="false">STB!E15</f>
        <v>0</v>
      </c>
      <c r="F11" s="59" t="n">
        <f aca="false">STB!F15</f>
        <v>0</v>
      </c>
      <c r="G11" s="59" t="n">
        <f aca="false">STB!G15</f>
        <v>0</v>
      </c>
      <c r="H11" s="59" t="n">
        <f aca="false">STB!H15</f>
        <v>0</v>
      </c>
      <c r="I11" s="59" t="n">
        <f aca="false">STB!I15</f>
        <v>0</v>
      </c>
      <c r="J11" s="59" t="n">
        <f aca="false">STB!J15</f>
        <v>0</v>
      </c>
      <c r="K11" s="59" t="n">
        <f aca="false">J11+K10</f>
        <v>0</v>
      </c>
      <c r="L11" s="59" t="n">
        <f aca="false">K11+L10</f>
        <v>1100</v>
      </c>
      <c r="M11" s="59" t="n">
        <f aca="false">L11+M10</f>
        <v>1500</v>
      </c>
      <c r="N11" s="59" t="n">
        <f aca="false">M11+N10</f>
        <v>3297</v>
      </c>
      <c r="O11" s="59" t="n">
        <f aca="false">N11+O10</f>
        <v>4797</v>
      </c>
    </row>
    <row r="12" customFormat="false" ht="12.75" hidden="false" customHeight="false" outlineLevel="0" collapsed="false">
      <c r="A12" s="60"/>
      <c r="B12" s="60" t="s">
        <v>29</v>
      </c>
      <c r="C12" s="60"/>
      <c r="D12" s="61" t="n">
        <f aca="false">D11-C11</f>
        <v>0</v>
      </c>
      <c r="E12" s="61" t="n">
        <f aca="false">E11-D11</f>
        <v>0</v>
      </c>
      <c r="F12" s="61" t="n">
        <f aca="false">F11-E11</f>
        <v>0</v>
      </c>
      <c r="G12" s="61" t="n">
        <f aca="false">G11-F11</f>
        <v>0</v>
      </c>
      <c r="H12" s="61" t="n">
        <f aca="false">H11-G11</f>
        <v>0</v>
      </c>
      <c r="I12" s="61" t="n">
        <f aca="false">I11-H11</f>
        <v>0</v>
      </c>
      <c r="J12" s="61" t="n">
        <f aca="false">J11-I11</f>
        <v>0</v>
      </c>
      <c r="K12" s="61" t="n">
        <f aca="false">K11-J11</f>
        <v>0</v>
      </c>
      <c r="L12" s="61" t="n">
        <f aca="false">L11-K11</f>
        <v>1100</v>
      </c>
      <c r="M12" s="61" t="n">
        <f aca="false">M11-L11</f>
        <v>400</v>
      </c>
      <c r="N12" s="61" t="n">
        <f aca="false">N11-M11</f>
        <v>1797</v>
      </c>
      <c r="O12" s="61" t="n">
        <f aca="false">O11-N11</f>
        <v>1500</v>
      </c>
    </row>
    <row r="13" customFormat="false" ht="12.75" hidden="false" customHeight="false" outlineLevel="0" collapsed="false">
      <c r="B13" s="0" t="s">
        <v>30</v>
      </c>
      <c r="D13" s="62" t="n">
        <f aca="false">[1]Assumptions!F39</f>
        <v>4</v>
      </c>
      <c r="E13" s="62" t="n">
        <f aca="false">D13</f>
        <v>4</v>
      </c>
      <c r="F13" s="62" t="n">
        <f aca="false">E13</f>
        <v>4</v>
      </c>
      <c r="G13" s="62" t="n">
        <f aca="false">F13</f>
        <v>4</v>
      </c>
      <c r="H13" s="62" t="n">
        <f aca="false">G13</f>
        <v>4</v>
      </c>
      <c r="I13" s="62" t="n">
        <f aca="false">H13</f>
        <v>4</v>
      </c>
      <c r="J13" s="62" t="n">
        <f aca="false">I13</f>
        <v>4</v>
      </c>
      <c r="K13" s="62" t="n">
        <f aca="false">J13</f>
        <v>4</v>
      </c>
      <c r="L13" s="62" t="n">
        <f aca="false">K13</f>
        <v>4</v>
      </c>
      <c r="M13" s="62" t="n">
        <f aca="false">L13</f>
        <v>4</v>
      </c>
      <c r="N13" s="62" t="n">
        <f aca="false">M13</f>
        <v>4</v>
      </c>
      <c r="O13" s="62" t="n">
        <f aca="false">N13</f>
        <v>4</v>
      </c>
    </row>
    <row r="14" customFormat="false" ht="12.75" hidden="false" customHeight="false" outlineLevel="0" collapsed="false">
      <c r="B14" s="0" t="s">
        <v>31</v>
      </c>
      <c r="D14" s="63" t="n">
        <v>1.2</v>
      </c>
      <c r="E14" s="63" t="n">
        <v>1.2</v>
      </c>
      <c r="F14" s="63" t="n">
        <v>1.2</v>
      </c>
      <c r="G14" s="63" t="n">
        <v>1.2</v>
      </c>
      <c r="H14" s="63" t="n">
        <v>1.2</v>
      </c>
      <c r="I14" s="63" t="n">
        <v>1.2</v>
      </c>
      <c r="J14" s="63" t="n">
        <v>1.2</v>
      </c>
      <c r="K14" s="63" t="n">
        <v>1.2</v>
      </c>
      <c r="L14" s="63" t="n">
        <v>1.2</v>
      </c>
      <c r="M14" s="63" t="n">
        <v>1.2</v>
      </c>
      <c r="N14" s="63" t="n">
        <v>1.2</v>
      </c>
      <c r="O14" s="63" t="n">
        <v>1.2</v>
      </c>
    </row>
    <row r="15" customFormat="false" ht="12.75" hidden="false" customHeight="false" outlineLevel="0" collapsed="false">
      <c r="B15" s="0" t="s">
        <v>32</v>
      </c>
      <c r="D15" s="64" t="n">
        <f aca="false">D11*D14*D13/1000</f>
        <v>0</v>
      </c>
      <c r="E15" s="64" t="n">
        <f aca="false">E11*E14*E13*12/1000</f>
        <v>0</v>
      </c>
      <c r="F15" s="64" t="n">
        <f aca="false">F11*F14*F13*12/1000</f>
        <v>0</v>
      </c>
      <c r="G15" s="64" t="n">
        <f aca="false">G11*G14*G13*12/1000</f>
        <v>0</v>
      </c>
      <c r="H15" s="64" t="n">
        <f aca="false">H11*H14*H13*12/1000</f>
        <v>0</v>
      </c>
      <c r="I15" s="64" t="n">
        <f aca="false">I11*I14*I13*12/1000</f>
        <v>0</v>
      </c>
      <c r="J15" s="64" t="n">
        <f aca="false">J11*J14*J13*12/1000</f>
        <v>0</v>
      </c>
      <c r="K15" s="64" t="n">
        <f aca="false">K11*K14*K13*12/1000</f>
        <v>0</v>
      </c>
      <c r="L15" s="64" t="n">
        <f aca="false">L11*L14*L13*12/1000</f>
        <v>63.36</v>
      </c>
      <c r="M15" s="64" t="n">
        <f aca="false">M11*M14*M13*12/1000</f>
        <v>86.4</v>
      </c>
      <c r="N15" s="64" t="n">
        <f aca="false">N11*N14*N13*12/1000</f>
        <v>189.9072</v>
      </c>
      <c r="O15" s="64" t="n">
        <f aca="false">O11*O14*O13*12/1000</f>
        <v>276.3072</v>
      </c>
    </row>
    <row r="17" customFormat="false" ht="12.75" hidden="false" customHeight="false" outlineLevel="0" collapsed="false">
      <c r="B17" s="0" t="s">
        <v>33</v>
      </c>
      <c r="D17" s="65" t="n">
        <f aca="false">$D$5</f>
        <v>6</v>
      </c>
      <c r="E17" s="65" t="n">
        <f aca="false">D17</f>
        <v>6</v>
      </c>
      <c r="F17" s="65" t="n">
        <f aca="false">E17</f>
        <v>6</v>
      </c>
      <c r="G17" s="65" t="n">
        <f aca="false">F17</f>
        <v>6</v>
      </c>
      <c r="H17" s="65" t="n">
        <f aca="false">G17</f>
        <v>6</v>
      </c>
      <c r="I17" s="65" t="n">
        <f aca="false">H17</f>
        <v>6</v>
      </c>
      <c r="J17" s="65" t="n">
        <f aca="false">I17</f>
        <v>6</v>
      </c>
      <c r="K17" s="65" t="n">
        <f aca="false">J17</f>
        <v>6</v>
      </c>
      <c r="L17" s="65" t="n">
        <f aca="false">K17</f>
        <v>6</v>
      </c>
      <c r="M17" s="65" t="n">
        <f aca="false">L17</f>
        <v>6</v>
      </c>
      <c r="N17" s="65" t="n">
        <f aca="false">M17</f>
        <v>6</v>
      </c>
      <c r="O17" s="65" t="n">
        <f aca="false">N17</f>
        <v>6</v>
      </c>
    </row>
    <row r="18" customFormat="false" ht="12.75" hidden="false" customHeight="false" outlineLevel="0" collapsed="false">
      <c r="B18" s="0" t="s">
        <v>34</v>
      </c>
      <c r="D18" s="66" t="n">
        <f aca="false">$D$4</f>
        <v>0.5</v>
      </c>
      <c r="E18" s="66" t="n">
        <f aca="false">$D$4</f>
        <v>0.5</v>
      </c>
      <c r="F18" s="66" t="n">
        <f aca="false">$D$4</f>
        <v>0.5</v>
      </c>
      <c r="G18" s="66" t="n">
        <f aca="false">$D$4</f>
        <v>0.5</v>
      </c>
      <c r="H18" s="66" t="n">
        <f aca="false">$D$4</f>
        <v>0.5</v>
      </c>
      <c r="I18" s="66" t="n">
        <f aca="false">$D$4</f>
        <v>0.5</v>
      </c>
      <c r="J18" s="66" t="n">
        <f aca="false">$D$4</f>
        <v>0.5</v>
      </c>
      <c r="K18" s="66" t="n">
        <f aca="false">$D$4</f>
        <v>0.5</v>
      </c>
      <c r="L18" s="66" t="n">
        <f aca="false">$D$4</f>
        <v>0.5</v>
      </c>
      <c r="M18" s="66" t="n">
        <f aca="false">$D$4</f>
        <v>0.5</v>
      </c>
      <c r="N18" s="66" t="n">
        <f aca="false">$D$4</f>
        <v>0.5</v>
      </c>
      <c r="O18" s="66" t="n">
        <f aca="false">$D$4</f>
        <v>0.5</v>
      </c>
    </row>
    <row r="19" customFormat="false" ht="12.75" hidden="false" customHeight="false" outlineLevel="0" collapsed="false">
      <c r="B19" s="0" t="s">
        <v>35</v>
      </c>
      <c r="D19" s="64" t="n">
        <f aca="false">IF($D$6="Yes",D17*12*D18*D11/1000,0)</f>
        <v>0</v>
      </c>
      <c r="E19" s="64" t="n">
        <f aca="false">IF($D$6="Yes",E17*12*E18*E11/1000,0)</f>
        <v>0</v>
      </c>
      <c r="F19" s="64" t="n">
        <f aca="false">IF($D$6="Yes",F17*12*F18*F11/1000,0)</f>
        <v>0</v>
      </c>
      <c r="G19" s="64" t="n">
        <f aca="false">IF($D$6="Yes",G17*12*G18*G11/1000,0)</f>
        <v>0</v>
      </c>
      <c r="H19" s="64" t="n">
        <f aca="false">IF($D$6="Yes",H17*12*H18*H11/1000,0)</f>
        <v>0</v>
      </c>
      <c r="I19" s="64" t="n">
        <f aca="false">IF($D$6="Yes",I17*12*I18*I11/1000,0)</f>
        <v>0</v>
      </c>
      <c r="J19" s="64" t="n">
        <f aca="false">IF($D$6="Yes",J17*12*J18*J11/1000,0)</f>
        <v>0</v>
      </c>
      <c r="K19" s="64" t="n">
        <f aca="false">IF($D$6="Yes",K17*12*K18*K11/1000,0)</f>
        <v>0</v>
      </c>
      <c r="L19" s="64" t="n">
        <f aca="false">IF($D$6="Yes",L17*12*L18*L11/1000,0)</f>
        <v>0</v>
      </c>
      <c r="M19" s="64" t="n">
        <f aca="false">IF($D$6="Yes",M17*12*M18*M11/1000,0)</f>
        <v>0</v>
      </c>
      <c r="N19" s="64" t="n">
        <f aca="false">IF($D$6="Yes",N17*12*N18*N11/1000,0)</f>
        <v>0</v>
      </c>
      <c r="O19" s="64" t="n">
        <f aca="false">IF($D$6="Yes",O17*12*O18*O11/1000,0)</f>
        <v>0</v>
      </c>
    </row>
    <row r="21" customFormat="false" ht="12.75" hidden="false" customHeight="false" outlineLevel="0" collapsed="false">
      <c r="B21" s="0" t="s">
        <v>36</v>
      </c>
      <c r="D21" s="56" t="n">
        <v>0</v>
      </c>
      <c r="E21" s="56" t="n">
        <v>0</v>
      </c>
      <c r="F21" s="56" t="n">
        <v>0</v>
      </c>
      <c r="G21" s="56" t="n">
        <v>0</v>
      </c>
      <c r="H21" s="56" t="n">
        <v>0</v>
      </c>
      <c r="I21" s="56" t="n">
        <v>0</v>
      </c>
      <c r="J21" s="56" t="n">
        <v>0</v>
      </c>
      <c r="K21" s="56" t="n">
        <v>0</v>
      </c>
      <c r="L21" s="56" t="n">
        <v>0</v>
      </c>
      <c r="M21" s="56" t="n">
        <v>0</v>
      </c>
      <c r="N21" s="56" t="n">
        <v>0</v>
      </c>
      <c r="O21" s="56" t="n">
        <v>0</v>
      </c>
    </row>
    <row r="22" customFormat="false" ht="12.75" hidden="false" customHeight="false" outlineLevel="0" collapsed="false">
      <c r="B22" s="0" t="s">
        <v>37</v>
      </c>
      <c r="D22" s="67" t="n">
        <f aca="false">D10</f>
        <v>0</v>
      </c>
      <c r="E22" s="67" t="n">
        <f aca="false">E10</f>
        <v>0</v>
      </c>
      <c r="F22" s="67" t="n">
        <f aca="false">F10</f>
        <v>0</v>
      </c>
      <c r="G22" s="67" t="n">
        <f aca="false">G10</f>
        <v>0</v>
      </c>
      <c r="H22" s="67" t="n">
        <f aca="false">H10</f>
        <v>0</v>
      </c>
      <c r="I22" s="67" t="n">
        <f aca="false">I10</f>
        <v>0</v>
      </c>
      <c r="J22" s="67" t="n">
        <f aca="false">J10</f>
        <v>0</v>
      </c>
      <c r="K22" s="67" t="n">
        <f aca="false">K10</f>
        <v>0</v>
      </c>
      <c r="L22" s="67" t="n">
        <f aca="false">L10</f>
        <v>1100</v>
      </c>
      <c r="M22" s="67" t="n">
        <f aca="false">M10</f>
        <v>400</v>
      </c>
      <c r="N22" s="67" t="n">
        <f aca="false">N10</f>
        <v>1797</v>
      </c>
      <c r="O22" s="67" t="n">
        <f aca="false">O10</f>
        <v>1500</v>
      </c>
    </row>
    <row r="23" customFormat="false" ht="12.75" hidden="false" customHeight="false" outlineLevel="0" collapsed="false">
      <c r="B23" s="0" t="s">
        <v>38</v>
      </c>
      <c r="D23" s="64" t="n">
        <f aca="false">D21*D22/1000</f>
        <v>0</v>
      </c>
      <c r="E23" s="64" t="n">
        <f aca="false">E21*E22/1000</f>
        <v>0</v>
      </c>
      <c r="F23" s="64" t="n">
        <f aca="false">F21*F22/1000</f>
        <v>0</v>
      </c>
      <c r="G23" s="64" t="n">
        <f aca="false">G21*G22/1000</f>
        <v>0</v>
      </c>
      <c r="H23" s="64" t="n">
        <f aca="false">H21*H22/1000</f>
        <v>0</v>
      </c>
      <c r="I23" s="64" t="n">
        <f aca="false">I21*I22/1000</f>
        <v>0</v>
      </c>
      <c r="J23" s="64" t="n">
        <f aca="false">J21*J22/1000</f>
        <v>0</v>
      </c>
      <c r="K23" s="64" t="n">
        <f aca="false">K21*K22/1000</f>
        <v>0</v>
      </c>
      <c r="L23" s="64" t="n">
        <f aca="false">L21*L22/1000</f>
        <v>0</v>
      </c>
      <c r="M23" s="64" t="n">
        <f aca="false">M21*M22/1000</f>
        <v>0</v>
      </c>
      <c r="N23" s="64" t="n">
        <f aca="false">N21*N22/1000</f>
        <v>0</v>
      </c>
      <c r="O23" s="64" t="n">
        <f aca="false">O21*O22/1000</f>
        <v>0</v>
      </c>
    </row>
    <row r="25" customFormat="false" ht="13.5" hidden="false" customHeight="false" outlineLevel="0" collapsed="false">
      <c r="B25" s="68" t="s">
        <v>39</v>
      </c>
      <c r="C25" s="68"/>
      <c r="D25" s="69" t="n">
        <f aca="false">SUM(D15,D19,D23)</f>
        <v>0</v>
      </c>
      <c r="E25" s="69" t="n">
        <f aca="false">SUM(E15,E19,E23)</f>
        <v>0</v>
      </c>
      <c r="F25" s="69" t="n">
        <f aca="false">SUM(F15,F19,F23)</f>
        <v>0</v>
      </c>
      <c r="G25" s="69" t="n">
        <f aca="false">SUM(G15,G19,G23)</f>
        <v>0</v>
      </c>
      <c r="H25" s="69" t="n">
        <f aca="false">SUM(H15,H19,H23)</f>
        <v>0</v>
      </c>
      <c r="I25" s="69" t="n">
        <f aca="false">SUM(I15,I19,I23)</f>
        <v>0</v>
      </c>
      <c r="J25" s="69" t="n">
        <f aca="false">SUM(J15,J19,J23)</f>
        <v>0</v>
      </c>
      <c r="K25" s="69" t="n">
        <f aca="false">SUM(K15,K19,K23)</f>
        <v>0</v>
      </c>
      <c r="L25" s="69" t="n">
        <f aca="false">SUM(L15,L19,L23)</f>
        <v>63.36</v>
      </c>
      <c r="M25" s="69" t="n">
        <f aca="false">SUM(M15,M19,M23)</f>
        <v>86.4</v>
      </c>
      <c r="N25" s="69" t="n">
        <f aca="false">SUM(N15,N19,N23)</f>
        <v>189.9072</v>
      </c>
      <c r="O25" s="69" t="n">
        <f aca="false">SUM(O15,O19,O23)</f>
        <v>276.3072</v>
      </c>
    </row>
    <row r="26" customFormat="false" ht="13.5" hidden="false" customHeight="false" outlineLevel="0" collapsed="false"/>
    <row r="29" customFormat="false" ht="12.75" hidden="false" customHeight="false" outlineLevel="0" collapsed="false">
      <c r="B29" s="0" t="s">
        <v>40</v>
      </c>
    </row>
    <row r="30" customFormat="false" ht="12.75" hidden="false" customHeight="false" outlineLevel="0" collapsed="false">
      <c r="B30" s="0" t="s"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8"/>
  <sheetViews>
    <sheetView showFormulas="false" showGridLines="true" showRowColHeaders="true" showZeros="true" rightToLeft="false" tabSelected="true" showOutlineSymbols="true" defaultGridColor="true" view="normal" topLeftCell="A3" colorId="64" zoomScale="85" zoomScaleNormal="85" zoomScalePageLayoutView="100" workbookViewId="0">
      <selection pane="topLeft" activeCell="M33" activeCellId="0" sqref="M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.84"/>
    <col collapsed="false" customWidth="true" hidden="false" outlineLevel="0" max="3" min="3" style="0" width="24.85"/>
    <col collapsed="false" customWidth="true" hidden="false" outlineLevel="0" max="4" min="4" style="0" width="11.56"/>
    <col collapsed="false" customWidth="true" hidden="false" outlineLevel="0" max="6" min="6" style="0" width="9.85"/>
    <col collapsed="false" customWidth="true" hidden="false" outlineLevel="0" max="8" min="8" style="0" width="9.85"/>
    <col collapsed="false" customWidth="true" hidden="false" outlineLevel="0" max="10" min="10" style="0" width="9.99"/>
    <col collapsed="false" customWidth="true" hidden="false" outlineLevel="0" max="12" min="12" style="0" width="9.85"/>
  </cols>
  <sheetData>
    <row r="1" customFormat="false" ht="8.25" hidden="false" customHeight="true" outlineLevel="0" collapsed="false"/>
    <row r="2" customFormat="false" ht="12.75" hidden="false" customHeight="false" outlineLevel="0" collapsed="false">
      <c r="C2" s="53" t="s">
        <v>22</v>
      </c>
    </row>
    <row r="3" customFormat="false" ht="12.75" hidden="false" customHeight="false" outlineLevel="0" collapsed="false">
      <c r="I3" s="70" t="s">
        <v>42</v>
      </c>
    </row>
    <row r="4" customFormat="false" ht="12.75" hidden="false" customHeight="false" outlineLevel="0" collapsed="false">
      <c r="C4" s="0" t="s">
        <v>43</v>
      </c>
      <c r="D4" s="71" t="n">
        <v>1.855</v>
      </c>
      <c r="E4" s="0" t="s">
        <v>44</v>
      </c>
      <c r="I4" s="72" t="s">
        <v>45</v>
      </c>
      <c r="J4" s="72" t="s">
        <v>46</v>
      </c>
      <c r="K4" s="73" t="n">
        <v>1</v>
      </c>
      <c r="L4" s="0" t="s">
        <v>47</v>
      </c>
      <c r="N4" s="0" t="s">
        <v>48</v>
      </c>
    </row>
    <row r="5" customFormat="false" ht="12.75" hidden="false" customHeight="false" outlineLevel="0" collapsed="false">
      <c r="C5" s="0" t="s">
        <v>49</v>
      </c>
      <c r="D5" s="73" t="n">
        <v>400</v>
      </c>
      <c r="E5" s="0" t="s">
        <v>44</v>
      </c>
      <c r="I5" s="74" t="s">
        <v>50</v>
      </c>
      <c r="J5" s="0" t="s">
        <v>51</v>
      </c>
      <c r="K5" s="73" t="n">
        <v>2</v>
      </c>
      <c r="L5" s="0" t="s">
        <v>47</v>
      </c>
      <c r="N5" s="0" t="s">
        <v>52</v>
      </c>
    </row>
    <row r="6" customFormat="false" ht="12.75" hidden="false" customHeight="false" outlineLevel="0" collapsed="false">
      <c r="C6" s="0" t="s">
        <v>53</v>
      </c>
      <c r="D6" s="74" t="n">
        <f aca="false">D5/D4</f>
        <v>215.633423180593</v>
      </c>
      <c r="E6" s="0" t="s">
        <v>54</v>
      </c>
      <c r="I6" s="0" t="s">
        <v>50</v>
      </c>
      <c r="J6" s="0" t="s">
        <v>55</v>
      </c>
      <c r="K6" s="73" t="n">
        <v>2</v>
      </c>
      <c r="L6" s="0" t="s">
        <v>47</v>
      </c>
      <c r="N6" s="0" t="s">
        <v>56</v>
      </c>
    </row>
    <row r="7" customFormat="false" ht="12.75" hidden="false" customHeight="false" outlineLevel="0" collapsed="false">
      <c r="C7" s="0" t="s">
        <v>57</v>
      </c>
      <c r="D7" s="75" t="n">
        <v>800</v>
      </c>
      <c r="E7" s="0" t="s">
        <v>58</v>
      </c>
      <c r="I7" s="0" t="s">
        <v>50</v>
      </c>
      <c r="J7" s="0" t="s">
        <v>59</v>
      </c>
      <c r="K7" s="73" t="n">
        <v>2</v>
      </c>
      <c r="L7" s="0" t="s">
        <v>47</v>
      </c>
      <c r="N7" s="0" t="s">
        <v>60</v>
      </c>
    </row>
    <row r="8" customFormat="false" ht="12.75" hidden="false" customHeight="false" outlineLevel="0" collapsed="false">
      <c r="C8" s="0" t="s">
        <v>61</v>
      </c>
      <c r="D8" s="76" t="n">
        <v>0.15</v>
      </c>
      <c r="I8" s="0" t="s">
        <v>50</v>
      </c>
      <c r="J8" s="0" t="s">
        <v>62</v>
      </c>
      <c r="K8" s="73" t="n">
        <v>2</v>
      </c>
      <c r="L8" s="0" t="s">
        <v>47</v>
      </c>
      <c r="N8" s="0" t="s">
        <v>63</v>
      </c>
    </row>
    <row r="9" customFormat="false" ht="12.75" hidden="false" customHeight="false" outlineLevel="0" collapsed="false">
      <c r="C9" s="0" t="s">
        <v>64</v>
      </c>
      <c r="D9" s="77" t="n">
        <v>5000</v>
      </c>
      <c r="E9" s="0" t="s">
        <v>65</v>
      </c>
      <c r="F9" s="77" t="n">
        <v>3500</v>
      </c>
      <c r="G9" s="0" t="s">
        <v>66</v>
      </c>
      <c r="J9" s="0" t="s">
        <v>67</v>
      </c>
      <c r="K9" s="73" t="n">
        <v>10</v>
      </c>
      <c r="L9" s="0" t="s">
        <v>47</v>
      </c>
      <c r="N9" s="0" t="s">
        <v>68</v>
      </c>
    </row>
    <row r="10" customFormat="false" ht="12.75" hidden="false" customHeight="false" outlineLevel="0" collapsed="false">
      <c r="D10" s="77" t="n">
        <v>10000</v>
      </c>
      <c r="E10" s="0" t="s">
        <v>69</v>
      </c>
      <c r="I10" s="0" t="s">
        <v>70</v>
      </c>
      <c r="J10" s="0" t="s">
        <v>71</v>
      </c>
      <c r="K10" s="73" t="n">
        <v>2</v>
      </c>
      <c r="L10" s="0" t="s">
        <v>47</v>
      </c>
      <c r="N10" s="0" t="s">
        <v>72</v>
      </c>
    </row>
    <row r="11" customFormat="false" ht="12.75" hidden="false" customHeight="false" outlineLevel="0" collapsed="false">
      <c r="C11" s="0" t="s">
        <v>73</v>
      </c>
      <c r="D11" s="77" t="n">
        <v>2000000</v>
      </c>
      <c r="I11" s="0" t="s">
        <v>74</v>
      </c>
      <c r="J11" s="0" t="s">
        <v>75</v>
      </c>
      <c r="K11" s="73" t="n">
        <v>3</v>
      </c>
      <c r="L11" s="0" t="s">
        <v>47</v>
      </c>
      <c r="N11" s="0" t="s">
        <v>76</v>
      </c>
    </row>
    <row r="12" customFormat="false" ht="13.5" hidden="false" customHeight="false" outlineLevel="0" collapsed="false">
      <c r="C12" s="0" t="s">
        <v>77</v>
      </c>
      <c r="D12" s="77" t="n">
        <v>1000000</v>
      </c>
      <c r="I12" s="0" t="s">
        <v>78</v>
      </c>
      <c r="J12" s="0" t="s">
        <v>46</v>
      </c>
      <c r="K12" s="73" t="n">
        <v>2</v>
      </c>
      <c r="L12" s="0" t="s">
        <v>47</v>
      </c>
      <c r="N12" s="0" t="s">
        <v>48</v>
      </c>
    </row>
    <row r="13" customFormat="false" ht="13.5" hidden="false" customHeight="false" outlineLevel="0" collapsed="false">
      <c r="C13" s="78" t="s">
        <v>79</v>
      </c>
      <c r="E13" s="79"/>
      <c r="F13" s="79"/>
      <c r="G13" s="79"/>
      <c r="H13" s="79"/>
      <c r="I13" s="79"/>
      <c r="J13" s="80" t="s">
        <v>1</v>
      </c>
      <c r="K13" s="81" t="n">
        <f aca="false">SUM(K4:K12)</f>
        <v>26</v>
      </c>
      <c r="L13" s="70" t="s">
        <v>80</v>
      </c>
    </row>
    <row r="14" customFormat="false" ht="13.5" hidden="false" customHeight="false" outlineLevel="0" collapsed="false">
      <c r="C14" s="82"/>
      <c r="D14" s="83" t="s">
        <v>81</v>
      </c>
      <c r="E14" s="83"/>
      <c r="F14" s="83"/>
      <c r="G14" s="83" t="s">
        <v>82</v>
      </c>
      <c r="H14" s="83"/>
      <c r="I14" s="83"/>
      <c r="J14" s="84"/>
      <c r="L14" s="85" t="s">
        <v>83</v>
      </c>
      <c r="M14" s="64" t="n">
        <f aca="false">D18*D5</f>
        <v>46800</v>
      </c>
    </row>
    <row r="15" customFormat="false" ht="12.75" hidden="false" customHeight="false" outlineLevel="0" collapsed="false">
      <c r="C15" s="86"/>
      <c r="D15" s="87"/>
      <c r="E15" s="88"/>
      <c r="F15" s="89" t="s">
        <v>84</v>
      </c>
      <c r="G15" s="87"/>
      <c r="H15" s="88"/>
      <c r="I15" s="89" t="s">
        <v>84</v>
      </c>
      <c r="J15" s="84"/>
      <c r="L15" s="85" t="s">
        <v>85</v>
      </c>
      <c r="M15" s="64" t="n">
        <f aca="false">F18*D6</f>
        <v>7547.16981132076</v>
      </c>
    </row>
    <row r="16" customFormat="false" ht="13.5" hidden="false" customHeight="false" outlineLevel="0" collapsed="false">
      <c r="C16" s="90" t="s">
        <v>86</v>
      </c>
      <c r="D16" s="91" t="s">
        <v>87</v>
      </c>
      <c r="E16" s="92"/>
      <c r="F16" s="92" t="s">
        <v>88</v>
      </c>
      <c r="G16" s="91" t="s">
        <v>87</v>
      </c>
      <c r="H16" s="92"/>
      <c r="I16" s="92" t="s">
        <v>88</v>
      </c>
      <c r="J16" s="93" t="s">
        <v>89</v>
      </c>
      <c r="L16" s="85" t="s">
        <v>90</v>
      </c>
      <c r="M16" s="94" t="n">
        <f aca="false">SUM(M14:M15)*$D$8</f>
        <v>8152.07547169811</v>
      </c>
    </row>
    <row r="17" customFormat="false" ht="13.5" hidden="false" customHeight="false" outlineLevel="0" collapsed="false">
      <c r="C17" s="95"/>
      <c r="D17" s="96"/>
      <c r="E17" s="97"/>
      <c r="F17" s="98"/>
      <c r="G17" s="99"/>
      <c r="H17" s="96"/>
      <c r="I17" s="98"/>
      <c r="J17" s="100"/>
      <c r="L17" s="85"/>
      <c r="M17" s="101" t="n">
        <f aca="false">SUM(M14:M16)</f>
        <v>62499.2452830189</v>
      </c>
    </row>
    <row r="18" customFormat="false" ht="12.75" hidden="false" customHeight="false" outlineLevel="0" collapsed="false">
      <c r="C18" s="102" t="s">
        <v>91</v>
      </c>
      <c r="D18" s="103" t="n">
        <v>117</v>
      </c>
      <c r="E18" s="104"/>
      <c r="F18" s="105" t="n">
        <v>35</v>
      </c>
      <c r="G18" s="106" t="n">
        <v>110</v>
      </c>
      <c r="H18" s="107"/>
      <c r="I18" s="105" t="n">
        <v>33</v>
      </c>
      <c r="J18" s="108" t="n">
        <f aca="false">(G18-D18)/D18</f>
        <v>-0.0598290598290598</v>
      </c>
    </row>
    <row r="19" customFormat="false" ht="12.75" hidden="false" customHeight="false" outlineLevel="0" collapsed="false">
      <c r="C19" s="102" t="s">
        <v>92</v>
      </c>
      <c r="D19" s="103" t="n">
        <v>108</v>
      </c>
      <c r="E19" s="107" t="n">
        <f aca="false">(D19-D18)/D18</f>
        <v>-0.0769230769230769</v>
      </c>
      <c r="F19" s="105" t="n">
        <v>30</v>
      </c>
      <c r="G19" s="106" t="n">
        <v>100</v>
      </c>
      <c r="H19" s="107" t="n">
        <f aca="false">(G19-G18)/G18</f>
        <v>-0.0909090909090909</v>
      </c>
      <c r="I19" s="105" t="n">
        <v>27</v>
      </c>
      <c r="J19" s="108" t="n">
        <f aca="false">(G19-D19)/D19</f>
        <v>-0.0740740740740741</v>
      </c>
    </row>
    <row r="20" customFormat="false" ht="12.75" hidden="false" customHeight="false" outlineLevel="0" collapsed="false">
      <c r="C20" s="102" t="s">
        <v>93</v>
      </c>
      <c r="D20" s="103" t="n">
        <v>99</v>
      </c>
      <c r="E20" s="107" t="n">
        <f aca="false">(D20-D19)/D19</f>
        <v>-0.0833333333333333</v>
      </c>
      <c r="F20" s="105" t="n">
        <v>28</v>
      </c>
      <c r="G20" s="106" t="n">
        <v>88</v>
      </c>
      <c r="H20" s="107" t="n">
        <f aca="false">(G20-G19)/G19</f>
        <v>-0.12</v>
      </c>
      <c r="I20" s="105" t="n">
        <v>24</v>
      </c>
      <c r="J20" s="108" t="n">
        <f aca="false">(G20-D20)/D20</f>
        <v>-0.111111111111111</v>
      </c>
    </row>
    <row r="21" customFormat="false" ht="12.75" hidden="false" customHeight="false" outlineLevel="0" collapsed="false">
      <c r="C21" s="102" t="s">
        <v>94</v>
      </c>
      <c r="D21" s="103" t="n">
        <v>93</v>
      </c>
      <c r="E21" s="107" t="n">
        <f aca="false">(D21-D20)/D20</f>
        <v>-0.0606060606060606</v>
      </c>
      <c r="F21" s="105" t="n">
        <v>24</v>
      </c>
      <c r="G21" s="106" t="n">
        <v>82</v>
      </c>
      <c r="H21" s="107" t="n">
        <f aca="false">(G21-G20)/G20</f>
        <v>-0.0681818181818182</v>
      </c>
      <c r="I21" s="105" t="n">
        <v>21</v>
      </c>
      <c r="J21" s="108" t="n">
        <f aca="false">(G21-D21)/D21</f>
        <v>-0.118279569892473</v>
      </c>
    </row>
    <row r="22" customFormat="false" ht="13.5" hidden="false" customHeight="false" outlineLevel="0" collapsed="false">
      <c r="C22" s="109" t="s">
        <v>95</v>
      </c>
      <c r="D22" s="110" t="n">
        <f aca="false">AVERAGE(D18:D21)</f>
        <v>104.25</v>
      </c>
      <c r="E22" s="111"/>
      <c r="F22" s="110" t="n">
        <f aca="false">AVERAGE(F18:F21)</f>
        <v>29.25</v>
      </c>
      <c r="G22" s="112" t="n">
        <f aca="false">AVERAGE(G18:G21)</f>
        <v>95</v>
      </c>
      <c r="H22" s="113"/>
      <c r="I22" s="110" t="n">
        <f aca="false">AVERAGE(I18:I21)</f>
        <v>26.25</v>
      </c>
      <c r="J22" s="114" t="n">
        <f aca="false">AVERAGE(J18:J21)</f>
        <v>-0.0908234537266795</v>
      </c>
    </row>
    <row r="23" customFormat="false" ht="13.5" hidden="false" customHeight="false" outlineLevel="0" collapsed="false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</row>
    <row r="24" customFormat="false" ht="12.75" hidden="false" customHeight="false" outlineLevel="0" collapsed="false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6" t="s">
        <v>96</v>
      </c>
      <c r="M24" s="117"/>
      <c r="N24" s="117"/>
      <c r="O24" s="117"/>
      <c r="P24" s="115"/>
      <c r="Q24" s="115"/>
    </row>
    <row r="25" customFormat="false" ht="12.75" hidden="false" customHeight="false" outlineLevel="0" collapsed="false">
      <c r="D25" s="58" t="n">
        <v>36617</v>
      </c>
      <c r="E25" s="58" t="n">
        <v>36647</v>
      </c>
      <c r="F25" s="58" t="n">
        <v>36678</v>
      </c>
      <c r="G25" s="58" t="n">
        <v>36708</v>
      </c>
      <c r="H25" s="58" t="n">
        <v>36739</v>
      </c>
      <c r="I25" s="58" t="n">
        <v>36770</v>
      </c>
      <c r="J25" s="58" t="n">
        <v>36800</v>
      </c>
      <c r="K25" s="58" t="n">
        <v>36831</v>
      </c>
      <c r="L25" s="58" t="n">
        <v>36861</v>
      </c>
      <c r="M25" s="58" t="n">
        <v>36892</v>
      </c>
      <c r="N25" s="58" t="n">
        <v>36923</v>
      </c>
      <c r="O25" s="58" t="n">
        <v>36951</v>
      </c>
    </row>
    <row r="27" customFormat="false" ht="12.75" hidden="false" customHeight="false" outlineLevel="0" collapsed="false">
      <c r="B27" s="118" t="s">
        <v>97</v>
      </c>
    </row>
    <row r="28" customFormat="false" ht="12.75" hidden="false" customHeight="false" outlineLevel="0" collapsed="false">
      <c r="C28" s="0" t="s">
        <v>98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f aca="false">K12+K4</f>
        <v>3</v>
      </c>
      <c r="I28" s="0" t="n">
        <f aca="false">K5+K6+K7+K8+K9+K10+K11</f>
        <v>23</v>
      </c>
      <c r="J28" s="0" t="n">
        <v>0</v>
      </c>
      <c r="K28" s="0" t="n">
        <v>0</v>
      </c>
      <c r="L28" s="73" t="n">
        <v>0</v>
      </c>
      <c r="M28" s="73" t="n">
        <v>2</v>
      </c>
      <c r="N28" s="73" t="n">
        <v>2</v>
      </c>
      <c r="O28" s="73" t="n">
        <v>2</v>
      </c>
    </row>
    <row r="29" customFormat="false" ht="12.75" hidden="false" customHeight="false" outlineLevel="0" collapsed="false">
      <c r="C29" s="0" t="s">
        <v>99</v>
      </c>
      <c r="D29" s="64" t="n">
        <f aca="false">SUM($M$14:$M$15)/1000</f>
        <v>54.3471698113208</v>
      </c>
      <c r="E29" s="64" t="n">
        <f aca="false">SUM($M$14:$M$15)/1000</f>
        <v>54.3471698113208</v>
      </c>
      <c r="F29" s="64" t="n">
        <f aca="false">SUM($M$14:$M$15)/1000</f>
        <v>54.3471698113208</v>
      </c>
      <c r="G29" s="64" t="n">
        <f aca="false">SUM($M$14:$M$15)/1000</f>
        <v>54.3471698113208</v>
      </c>
      <c r="H29" s="64" t="n">
        <f aca="false">SUM($M$14:$M$15)/1000</f>
        <v>54.3471698113208</v>
      </c>
      <c r="I29" s="64" t="n">
        <f aca="false">SUM($M$14:$M$15)/1000</f>
        <v>54.3471698113208</v>
      </c>
      <c r="J29" s="64" t="n">
        <f aca="false">SUM($M$14:$M$15)/1000</f>
        <v>54.3471698113208</v>
      </c>
      <c r="K29" s="64" t="n">
        <f aca="false">SUM($M$14:$M$15)/1000</f>
        <v>54.3471698113208</v>
      </c>
      <c r="L29" s="64" t="n">
        <f aca="false">SUM($M$14:$M$15)/1000</f>
        <v>54.3471698113208</v>
      </c>
      <c r="M29" s="64" t="n">
        <f aca="false">SUM($M$14:$M$15)/1000</f>
        <v>54.3471698113208</v>
      </c>
      <c r="N29" s="64" t="n">
        <f aca="false">SUM($M$14:$M$15)/1000</f>
        <v>54.3471698113208</v>
      </c>
      <c r="O29" s="64" t="n">
        <f aca="false">SUM($M$14:$M$15)/1000</f>
        <v>54.3471698113208</v>
      </c>
    </row>
    <row r="30" customFormat="false" ht="12.75" hidden="false" customHeight="false" outlineLevel="0" collapsed="false">
      <c r="C30" s="0" t="s">
        <v>100</v>
      </c>
      <c r="D30" s="64" t="n">
        <f aca="false">$M$16/1000</f>
        <v>8.15207547169811</v>
      </c>
      <c r="E30" s="64" t="n">
        <f aca="false">$M$16/1000</f>
        <v>8.15207547169811</v>
      </c>
      <c r="F30" s="64" t="n">
        <f aca="false">$M$16/1000</f>
        <v>8.15207547169811</v>
      </c>
      <c r="G30" s="64" t="n">
        <f aca="false">$M$16/1000</f>
        <v>8.15207547169811</v>
      </c>
      <c r="H30" s="64" t="n">
        <f aca="false">$M$16/1000</f>
        <v>8.15207547169811</v>
      </c>
      <c r="I30" s="64" t="n">
        <f aca="false">$M$16/1000</f>
        <v>8.15207547169811</v>
      </c>
      <c r="J30" s="64" t="n">
        <f aca="false">$M$16/1000</f>
        <v>8.15207547169811</v>
      </c>
      <c r="K30" s="64" t="n">
        <f aca="false">$M$16/1000</f>
        <v>8.15207547169811</v>
      </c>
      <c r="L30" s="64" t="n">
        <f aca="false">$M$16/1000</f>
        <v>8.15207547169811</v>
      </c>
      <c r="M30" s="64" t="n">
        <f aca="false">$M$16/1000</f>
        <v>8.15207547169811</v>
      </c>
      <c r="N30" s="64" t="n">
        <f aca="false">$M$16/1000</f>
        <v>8.15207547169811</v>
      </c>
      <c r="O30" s="64" t="n">
        <f aca="false">$M$16/1000</f>
        <v>8.15207547169811</v>
      </c>
    </row>
    <row r="31" customFormat="false" ht="12.75" hidden="false" customHeight="false" outlineLevel="0" collapsed="false">
      <c r="C31" s="0" t="s">
        <v>101</v>
      </c>
      <c r="D31" s="64" t="n">
        <f aca="false">(D29+D30)*D28</f>
        <v>0</v>
      </c>
      <c r="E31" s="64" t="n">
        <f aca="false">(E29+E30)*E28</f>
        <v>0</v>
      </c>
      <c r="F31" s="64" t="n">
        <f aca="false">(F29+F30)*F28</f>
        <v>0</v>
      </c>
      <c r="G31" s="64" t="n">
        <f aca="false">(G29+G30)*G28</f>
        <v>0</v>
      </c>
      <c r="H31" s="64" t="n">
        <f aca="false">(H29+H30)*H28</f>
        <v>187.497735849057</v>
      </c>
      <c r="I31" s="64" t="n">
        <f aca="false">(I29+I30)*I28</f>
        <v>1437.48264150943</v>
      </c>
      <c r="J31" s="64" t="n">
        <f aca="false">(J29+J30)*J28</f>
        <v>0</v>
      </c>
      <c r="K31" s="64" t="n">
        <f aca="false">(K29+K30)*K28</f>
        <v>0</v>
      </c>
      <c r="L31" s="64" t="n">
        <f aca="false">(L29+L30)*L28</f>
        <v>0</v>
      </c>
      <c r="M31" s="64" t="n">
        <f aca="false">(M29+M30)*M28</f>
        <v>124.998490566038</v>
      </c>
      <c r="N31" s="64" t="n">
        <f aca="false">(N29+N30)*N28</f>
        <v>124.998490566038</v>
      </c>
      <c r="O31" s="64" t="n">
        <f aca="false">(O29+O30)*O28</f>
        <v>124.998490566038</v>
      </c>
    </row>
    <row r="32" customFormat="false" ht="12.75" hidden="false" customHeight="false" outlineLevel="0" collapsed="false">
      <c r="C32" s="0" t="s">
        <v>102</v>
      </c>
      <c r="D32" s="94" t="n">
        <f aca="false">IF(D28=0,0,MIN($D$10/1000,($D$9/1000+(D28-1)*$F$9/1000)))</f>
        <v>0</v>
      </c>
      <c r="E32" s="94" t="n">
        <f aca="false">IF(E28=0,0,MIN($D$10/1000,($D$9/1000+(E28-1)*$F$9/1000)))</f>
        <v>0</v>
      </c>
      <c r="F32" s="94" t="n">
        <f aca="false">IF(F28=0,0,MIN($D$10/1000,($D$9/1000+(F28-1)*$F$9/1000)))</f>
        <v>0</v>
      </c>
      <c r="G32" s="94" t="n">
        <f aca="false">IF(G28=0,0,MIN($D$10/1000,($D$9/1000+(G28-1)*$F$9/1000)))</f>
        <v>0</v>
      </c>
      <c r="H32" s="94" t="n">
        <f aca="false">IF(H28=0,0,MIN($D$10/1000,($D$9/1000+(H28-1)*$F$9/1000)))</f>
        <v>10</v>
      </c>
      <c r="I32" s="94" t="n">
        <f aca="false">IF(I28=0,0,MIN($D$10/1000,($D$9/1000+(I28-1)*$F$9/1000)))</f>
        <v>10</v>
      </c>
      <c r="J32" s="94" t="n">
        <f aca="false">IF(J28=0,0,MIN($D$10/1000,($D$9/1000+(J28-1)*$F$9/1000)))</f>
        <v>0</v>
      </c>
      <c r="K32" s="94" t="n">
        <f aca="false">IF(K28=0,0,MIN($D$10/1000,($D$9/1000+(K28-1)*$F$9/1000)))</f>
        <v>0</v>
      </c>
      <c r="L32" s="94" t="n">
        <f aca="false">IF(L28=0,0,MIN($D$10/1000,($D$9/1000+(L28-1)*$F$9/1000)))</f>
        <v>0</v>
      </c>
      <c r="M32" s="94" t="n">
        <f aca="false">IF(M28=0,0,MIN($D$10/1000,($D$9/1000+(M28-1)*$F$9/1000)))</f>
        <v>8.5</v>
      </c>
      <c r="N32" s="94" t="n">
        <f aca="false">IF(N28=0,0,MIN($D$10/1000,($D$9/1000+(N28-1)*$F$9/1000)))</f>
        <v>8.5</v>
      </c>
      <c r="O32" s="94" t="n">
        <f aca="false">IF(O28=0,0,MIN($D$10/1000,($D$9/1000+(O28-1)*$F$9/1000)))</f>
        <v>8.5</v>
      </c>
    </row>
    <row r="33" customFormat="false" ht="12.75" hidden="false" customHeight="false" outlineLevel="0" collapsed="false">
      <c r="A33" s="118"/>
      <c r="B33" s="118"/>
      <c r="C33" s="118" t="s">
        <v>101</v>
      </c>
      <c r="D33" s="101" t="n">
        <f aca="false">SUM(D31:D32)</f>
        <v>0</v>
      </c>
      <c r="E33" s="101" t="n">
        <f aca="false">SUM(E31:E32)</f>
        <v>0</v>
      </c>
      <c r="F33" s="101" t="n">
        <f aca="false">SUM(F31:F32)</f>
        <v>0</v>
      </c>
      <c r="G33" s="101" t="n">
        <f aca="false">SUM(G31:G32)</f>
        <v>0</v>
      </c>
      <c r="H33" s="101" t="n">
        <f aca="false">SUM(H31:H32)</f>
        <v>197.497735849057</v>
      </c>
      <c r="I33" s="101" t="n">
        <f aca="false">SUM(I31:I32)</f>
        <v>1447.48264150943</v>
      </c>
      <c r="J33" s="101" t="n">
        <f aca="false">SUM(J31:J32)</f>
        <v>0</v>
      </c>
      <c r="K33" s="101" t="n">
        <f aca="false">SUM(K31:K32)</f>
        <v>0</v>
      </c>
      <c r="L33" s="101" t="n">
        <f aca="false">SUM(L31:L32)</f>
        <v>0</v>
      </c>
      <c r="M33" s="101" t="n">
        <f aca="false">SUM(M31:M32)</f>
        <v>133.498490566038</v>
      </c>
      <c r="N33" s="101" t="n">
        <f aca="false">SUM(N31:N32)</f>
        <v>133.498490566038</v>
      </c>
      <c r="O33" s="101" t="n">
        <f aca="false">SUM(O31:O32)</f>
        <v>133.498490566038</v>
      </c>
    </row>
    <row r="34" customFormat="false" ht="12.75" hidden="false" customHeight="false" outlineLevel="0" collapsed="false">
      <c r="H34" s="64"/>
      <c r="J34" s="64"/>
    </row>
    <row r="35" customFormat="false" ht="12.75" hidden="false" customHeight="false" outlineLevel="0" collapsed="false">
      <c r="B35" s="118" t="s">
        <v>103</v>
      </c>
    </row>
    <row r="36" customFormat="false" ht="12.75" hidden="false" customHeight="false" outlineLevel="0" collapsed="false">
      <c r="C36" s="0" t="s">
        <v>104</v>
      </c>
      <c r="D36" s="64" t="n">
        <v>0</v>
      </c>
      <c r="E36" s="64" t="n">
        <v>0</v>
      </c>
      <c r="F36" s="64" t="n">
        <v>0</v>
      </c>
      <c r="G36" s="64" t="n">
        <v>0</v>
      </c>
      <c r="H36" s="119" t="n">
        <v>1000</v>
      </c>
      <c r="I36" s="64" t="n">
        <v>0</v>
      </c>
      <c r="J36" s="64" t="n">
        <v>0</v>
      </c>
      <c r="K36" s="64" t="n">
        <v>0</v>
      </c>
      <c r="L36" s="119" t="n">
        <v>3000</v>
      </c>
      <c r="M36" s="64" t="n">
        <v>0</v>
      </c>
      <c r="N36" s="64" t="n">
        <v>0</v>
      </c>
      <c r="O36" s="119" t="n">
        <v>0</v>
      </c>
    </row>
    <row r="37" customFormat="false" ht="12.75" hidden="false" customHeight="false" outlineLevel="0" collapsed="false">
      <c r="C37" s="0" t="s">
        <v>105</v>
      </c>
      <c r="D37" s="94" t="n">
        <v>0</v>
      </c>
      <c r="E37" s="94" t="n">
        <v>0</v>
      </c>
      <c r="F37" s="94" t="n">
        <v>0</v>
      </c>
      <c r="G37" s="94" t="n">
        <f aca="false">$D$12/(MONTH($O$25-$F$25))/1000</f>
        <v>111.111111111111</v>
      </c>
      <c r="H37" s="94" t="n">
        <f aca="false">$D$12/(MONTH($O$25-$F$25))/1000</f>
        <v>111.111111111111</v>
      </c>
      <c r="I37" s="94" t="n">
        <f aca="false">$D$12/(MONTH($O$25-$F$25))/1000</f>
        <v>111.111111111111</v>
      </c>
      <c r="J37" s="94" t="n">
        <f aca="false">$D$12/(MONTH($O$25-$F$25))/1000</f>
        <v>111.111111111111</v>
      </c>
      <c r="K37" s="94" t="n">
        <f aca="false">$D$12/(MONTH($O$25-$F$25))/1000</f>
        <v>111.111111111111</v>
      </c>
      <c r="L37" s="94" t="n">
        <f aca="false">$D$12/(MONTH($O$25-$F$25))/1000</f>
        <v>111.111111111111</v>
      </c>
      <c r="M37" s="94" t="n">
        <f aca="false">$D$12/(MONTH($O$25-$F$25))/1000</f>
        <v>111.111111111111</v>
      </c>
      <c r="N37" s="94" t="n">
        <f aca="false">$D$12/(MONTH($O$25-$F$25))/1000</f>
        <v>111.111111111111</v>
      </c>
      <c r="O37" s="94" t="n">
        <f aca="false">$D$12/(MONTH($O$25-$F$25))/1000</f>
        <v>111.111111111111</v>
      </c>
      <c r="P37" s="64"/>
    </row>
    <row r="38" customFormat="false" ht="12.75" hidden="false" customHeight="false" outlineLevel="0" collapsed="false">
      <c r="C38" s="118" t="s">
        <v>106</v>
      </c>
      <c r="D38" s="101" t="n">
        <f aca="false">SUM(D36:D37)</f>
        <v>0</v>
      </c>
      <c r="E38" s="101" t="n">
        <f aca="false">SUM(E36:E37)</f>
        <v>0</v>
      </c>
      <c r="F38" s="101" t="n">
        <f aca="false">SUM(F36:F37)</f>
        <v>0</v>
      </c>
      <c r="G38" s="101" t="n">
        <f aca="false">SUM(G36:G37)</f>
        <v>111.111111111111</v>
      </c>
      <c r="H38" s="101" t="n">
        <f aca="false">SUM(H36:H37)</f>
        <v>1111.11111111111</v>
      </c>
      <c r="I38" s="101" t="n">
        <f aca="false">SUM(I36:I37)</f>
        <v>111.111111111111</v>
      </c>
      <c r="J38" s="101" t="n">
        <f aca="false">SUM(J36:J37)</f>
        <v>111.111111111111</v>
      </c>
      <c r="K38" s="101" t="n">
        <f aca="false">SUM(K36:K37)</f>
        <v>111.111111111111</v>
      </c>
      <c r="L38" s="101" t="n">
        <f aca="false">SUM(L36:L37)</f>
        <v>3111.11111111111</v>
      </c>
      <c r="M38" s="101" t="n">
        <f aca="false">SUM(M36:M37)</f>
        <v>111.111111111111</v>
      </c>
      <c r="N38" s="101" t="n">
        <f aca="false">SUM(N36:N37)</f>
        <v>111.111111111111</v>
      </c>
      <c r="O38" s="101" t="n">
        <f aca="false">SUM(O36:O37)</f>
        <v>111.111111111111</v>
      </c>
    </row>
    <row r="39" customFormat="false" ht="12.75" hidden="false" customHeight="false" outlineLevel="0" collapsed="false">
      <c r="G39" s="74"/>
    </row>
    <row r="40" customFormat="false" ht="13.5" hidden="false" customHeight="false" outlineLevel="0" collapsed="false">
      <c r="B40" s="68" t="s">
        <v>107</v>
      </c>
      <c r="C40" s="68"/>
      <c r="D40" s="69" t="n">
        <f aca="false">D38+D33</f>
        <v>0</v>
      </c>
      <c r="E40" s="69" t="n">
        <f aca="false">E38+E33</f>
        <v>0</v>
      </c>
      <c r="F40" s="69" t="n">
        <f aca="false">F38+F33</f>
        <v>0</v>
      </c>
      <c r="G40" s="69" t="n">
        <f aca="false">G38+G33</f>
        <v>111.111111111111</v>
      </c>
      <c r="H40" s="69" t="n">
        <f aca="false">H38+H33</f>
        <v>1308.60884696017</v>
      </c>
      <c r="I40" s="69" t="n">
        <f aca="false">I38+I33</f>
        <v>1558.59375262055</v>
      </c>
      <c r="J40" s="69" t="n">
        <f aca="false">J38+J33</f>
        <v>111.111111111111</v>
      </c>
      <c r="K40" s="69" t="n">
        <f aca="false">K38+K33</f>
        <v>111.111111111111</v>
      </c>
      <c r="L40" s="69" t="n">
        <f aca="false">L38+L33</f>
        <v>3111.11111111111</v>
      </c>
      <c r="M40" s="69" t="n">
        <f aca="false">M38+M33</f>
        <v>244.609601677149</v>
      </c>
      <c r="N40" s="69" t="n">
        <f aca="false">N38+N33</f>
        <v>244.609601677149</v>
      </c>
      <c r="O40" s="69" t="n">
        <f aca="false">O38+O33</f>
        <v>244.609601677149</v>
      </c>
    </row>
    <row r="41" customFormat="false" ht="12" hidden="false" customHeight="true" outlineLevel="0" collapsed="false"/>
    <row r="42" customFormat="false" ht="15.75" hidden="true" customHeight="true" outlineLevel="0" collapsed="false">
      <c r="A42" s="115"/>
      <c r="B42" s="120" t="s">
        <v>108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</row>
    <row r="43" customFormat="false" ht="12.75" hidden="true" customHeight="false" outlineLevel="0" collapsed="false">
      <c r="B43" s="121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3"/>
    </row>
    <row r="44" customFormat="false" ht="12.75" hidden="true" customHeight="false" outlineLevel="0" collapsed="false">
      <c r="B44" s="121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3"/>
    </row>
    <row r="45" customFormat="false" ht="12.75" hidden="true" customHeight="false" outlineLevel="0" collapsed="false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3"/>
    </row>
    <row r="46" customFormat="false" ht="12.75" hidden="true" customHeight="false" outlineLevel="0" collapsed="false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3"/>
    </row>
    <row r="47" customFormat="false" ht="12.75" hidden="true" customHeight="false" outlineLevel="0" collapsed="false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3"/>
    </row>
    <row r="48" customFormat="false" ht="12.75" hidden="true" customHeight="false" outlineLevel="0" collapsed="false">
      <c r="B48" s="121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3"/>
    </row>
    <row r="49" customFormat="false" ht="12.75" hidden="true" customHeight="false" outlineLevel="0" collapsed="false">
      <c r="B49" s="12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3"/>
    </row>
    <row r="50" customFormat="false" ht="12.75" hidden="true" customHeight="false" outlineLevel="0" collapsed="false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3"/>
    </row>
    <row r="51" customFormat="false" ht="13.5" hidden="true" customHeight="false" outlineLevel="0" collapsed="false">
      <c r="B51" s="124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6"/>
    </row>
    <row r="52" customFormat="false" ht="13.5" hidden="true" customHeight="false" outlineLevel="0" collapsed="false"/>
    <row r="56" customFormat="false" ht="12.75" hidden="false" customHeight="false" outlineLevel="0" collapsed="false">
      <c r="M56" s="0" t="n">
        <f aca="false">22.458-8.7</f>
        <v>13.758</v>
      </c>
      <c r="N56" s="0" t="n">
        <f aca="false">3.162+0.104+4.832+0.196+1.386+2.455+2.323</f>
        <v>14.458</v>
      </c>
    </row>
    <row r="57" customFormat="false" ht="12.75" hidden="false" customHeight="false" outlineLevel="0" collapsed="false">
      <c r="M57" s="0" t="n">
        <f aca="false">+N56-M56</f>
        <v>0.699999999999999</v>
      </c>
    </row>
    <row r="58" customFormat="false" ht="12.75" hidden="false" customHeight="false" outlineLevel="0" collapsed="false">
      <c r="O58" s="0" t="n">
        <f aca="false">7.432-2.6</f>
        <v>4.832</v>
      </c>
    </row>
  </sheetData>
  <mergeCells count="3">
    <mergeCell ref="D14:F14"/>
    <mergeCell ref="G14:I14"/>
    <mergeCell ref="B42:O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9" min="9" style="0" width="9.7"/>
    <col collapsed="false" customWidth="true" hidden="false" outlineLevel="0" max="10" min="10" style="0" width="14.99"/>
  </cols>
  <sheetData>
    <row r="1" customFormat="false" ht="12.75" hidden="false" customHeight="false" outlineLevel="0" collapsed="false">
      <c r="B1" s="127" t="s">
        <v>109</v>
      </c>
    </row>
    <row r="2" customFormat="false" ht="12.75" hidden="false" customHeight="false" outlineLevel="0" collapsed="false">
      <c r="B2" s="127"/>
    </row>
    <row r="3" customFormat="false" ht="12.75" hidden="false" customHeight="false" outlineLevel="0" collapsed="false">
      <c r="B3" s="0" t="s">
        <v>110</v>
      </c>
    </row>
    <row r="4" customFormat="false" ht="13.5" hidden="false" customHeight="false" outlineLevel="0" collapsed="false"/>
    <row r="5" customFormat="false" ht="12.75" hidden="false" customHeight="false" outlineLevel="0" collapsed="false">
      <c r="D5" s="128" t="s">
        <v>111</v>
      </c>
      <c r="E5" s="128"/>
      <c r="F5" s="128"/>
      <c r="G5" s="129" t="s">
        <v>112</v>
      </c>
      <c r="H5" s="129"/>
      <c r="I5" s="129"/>
      <c r="J5" s="130" t="s">
        <v>1</v>
      </c>
    </row>
    <row r="6" customFormat="false" ht="12.75" hidden="false" customHeight="false" outlineLevel="0" collapsed="false">
      <c r="C6" s="131" t="n">
        <v>36845</v>
      </c>
      <c r="D6" s="132" t="n">
        <v>36861</v>
      </c>
      <c r="E6" s="133" t="n">
        <v>36892</v>
      </c>
      <c r="F6" s="134" t="n">
        <v>36923</v>
      </c>
      <c r="G6" s="132" t="n">
        <v>36951</v>
      </c>
      <c r="H6" s="133" t="n">
        <v>36982</v>
      </c>
      <c r="I6" s="134" t="n">
        <v>37012</v>
      </c>
      <c r="J6" s="135" t="s">
        <v>113</v>
      </c>
      <c r="K6" s="118" t="s">
        <v>114</v>
      </c>
    </row>
    <row r="7" customFormat="false" ht="12.75" hidden="false" customHeight="false" outlineLevel="0" collapsed="false">
      <c r="B7" s="0" t="s">
        <v>74</v>
      </c>
      <c r="C7" s="136" t="n">
        <v>500</v>
      </c>
      <c r="D7" s="137" t="n">
        <v>0</v>
      </c>
      <c r="E7" s="115" t="n">
        <v>0</v>
      </c>
      <c r="F7" s="138" t="n">
        <v>0</v>
      </c>
      <c r="G7" s="137" t="n">
        <v>1000</v>
      </c>
      <c r="H7" s="115" t="n">
        <v>1000</v>
      </c>
      <c r="I7" s="138" t="n">
        <v>0</v>
      </c>
      <c r="J7" s="135" t="n">
        <f aca="false">SUM(D7:I7)</f>
        <v>2000</v>
      </c>
      <c r="K7" s="0" t="s">
        <v>115</v>
      </c>
    </row>
    <row r="8" customFormat="false" ht="12.75" hidden="false" customHeight="false" outlineLevel="0" collapsed="false">
      <c r="B8" s="0" t="s">
        <v>116</v>
      </c>
      <c r="C8" s="136" t="n">
        <v>500</v>
      </c>
      <c r="D8" s="137" t="n">
        <v>0</v>
      </c>
      <c r="E8" s="115" t="n">
        <v>250</v>
      </c>
      <c r="F8" s="138" t="n">
        <v>500</v>
      </c>
      <c r="G8" s="137" t="n">
        <v>500</v>
      </c>
      <c r="H8" s="115" t="n">
        <v>250</v>
      </c>
      <c r="I8" s="138" t="n">
        <v>0</v>
      </c>
      <c r="J8" s="135" t="n">
        <f aca="false">SUM(D8:I8)</f>
        <v>1500</v>
      </c>
      <c r="K8" s="0" t="s">
        <v>117</v>
      </c>
    </row>
    <row r="9" customFormat="false" ht="12.75" hidden="false" customHeight="false" outlineLevel="0" collapsed="false">
      <c r="B9" s="0" t="s">
        <v>70</v>
      </c>
      <c r="C9" s="136" t="n">
        <v>100</v>
      </c>
      <c r="D9" s="137" t="n">
        <v>0</v>
      </c>
      <c r="E9" s="115" t="n">
        <v>0</v>
      </c>
      <c r="F9" s="138" t="n">
        <v>0</v>
      </c>
      <c r="G9" s="137" t="n">
        <v>0</v>
      </c>
      <c r="H9" s="115" t="n">
        <v>0</v>
      </c>
      <c r="I9" s="138" t="n">
        <v>0</v>
      </c>
      <c r="J9" s="135" t="n">
        <f aca="false">SUM(D9:I9)</f>
        <v>0</v>
      </c>
      <c r="K9" s="0" t="s">
        <v>118</v>
      </c>
    </row>
    <row r="10" customFormat="false" ht="12.75" hidden="false" customHeight="false" outlineLevel="0" collapsed="false">
      <c r="B10" s="0" t="s">
        <v>119</v>
      </c>
      <c r="C10" s="136" t="n">
        <v>0</v>
      </c>
      <c r="D10" s="137" t="n">
        <v>0</v>
      </c>
      <c r="E10" s="115" t="n">
        <v>50</v>
      </c>
      <c r="F10" s="138" t="n">
        <v>797</v>
      </c>
      <c r="G10" s="137" t="n">
        <v>0</v>
      </c>
      <c r="H10" s="115" t="n">
        <v>0</v>
      </c>
      <c r="I10" s="138" t="n">
        <v>0</v>
      </c>
      <c r="J10" s="135" t="n">
        <f aca="false">SUM(D10:I10)</f>
        <v>847</v>
      </c>
      <c r="K10" s="0" t="s">
        <v>120</v>
      </c>
    </row>
    <row r="11" customFormat="false" ht="12.75" hidden="false" customHeight="false" outlineLevel="0" collapsed="false">
      <c r="B11" s="0" t="s">
        <v>121</v>
      </c>
      <c r="C11" s="136" t="n">
        <v>0</v>
      </c>
      <c r="D11" s="137" t="n">
        <v>0</v>
      </c>
      <c r="E11" s="115" t="n">
        <v>100</v>
      </c>
      <c r="F11" s="138" t="n">
        <v>0</v>
      </c>
      <c r="G11" s="137" t="n">
        <v>0</v>
      </c>
      <c r="H11" s="115" t="n">
        <v>0</v>
      </c>
      <c r="I11" s="138" t="n">
        <v>0</v>
      </c>
      <c r="J11" s="135" t="n">
        <f aca="false">SUM(D11:I11)</f>
        <v>100</v>
      </c>
      <c r="K11" s="0" t="s">
        <v>122</v>
      </c>
    </row>
    <row r="12" customFormat="false" ht="12.75" hidden="false" customHeight="false" outlineLevel="0" collapsed="false">
      <c r="B12" s="0" t="s">
        <v>123</v>
      </c>
      <c r="C12" s="136" t="n">
        <v>0</v>
      </c>
      <c r="D12" s="137" t="n">
        <v>0</v>
      </c>
      <c r="E12" s="115" t="n">
        <v>0</v>
      </c>
      <c r="F12" s="138" t="n">
        <v>0</v>
      </c>
      <c r="G12" s="137" t="n">
        <v>0</v>
      </c>
      <c r="H12" s="115" t="n">
        <v>0</v>
      </c>
      <c r="I12" s="138" t="n">
        <v>0</v>
      </c>
      <c r="J12" s="135" t="n">
        <f aca="false">SUM(D12:I12)</f>
        <v>0</v>
      </c>
      <c r="K12" s="0" t="s">
        <v>122</v>
      </c>
    </row>
    <row r="13" customFormat="false" ht="12.75" hidden="false" customHeight="false" outlineLevel="0" collapsed="false">
      <c r="B13" s="0" t="s">
        <v>124</v>
      </c>
      <c r="C13" s="136" t="n">
        <v>0</v>
      </c>
      <c r="D13" s="137" t="n">
        <v>0</v>
      </c>
      <c r="E13" s="115" t="n">
        <v>0</v>
      </c>
      <c r="F13" s="138" t="n">
        <v>0</v>
      </c>
      <c r="G13" s="137" t="n">
        <v>0</v>
      </c>
      <c r="H13" s="115" t="n">
        <v>0</v>
      </c>
      <c r="I13" s="138" t="n">
        <v>0</v>
      </c>
      <c r="J13" s="135" t="n">
        <f aca="false">SUM(D13:I13)</f>
        <v>0</v>
      </c>
      <c r="K13" s="0" t="s">
        <v>122</v>
      </c>
    </row>
    <row r="14" customFormat="false" ht="12.75" hidden="false" customHeight="false" outlineLevel="0" collapsed="false">
      <c r="B14" s="0" t="s">
        <v>125</v>
      </c>
      <c r="C14" s="136" t="n">
        <v>0</v>
      </c>
      <c r="D14" s="137" t="n">
        <v>0</v>
      </c>
      <c r="E14" s="115" t="n">
        <v>0</v>
      </c>
      <c r="F14" s="138" t="n">
        <v>500</v>
      </c>
      <c r="G14" s="137" t="n">
        <v>0</v>
      </c>
      <c r="H14" s="115" t="n">
        <v>0</v>
      </c>
      <c r="I14" s="138" t="n">
        <v>0</v>
      </c>
      <c r="J14" s="135" t="n">
        <f aca="false">SUM(D14:I14)</f>
        <v>500</v>
      </c>
      <c r="K14" s="0" t="s">
        <v>126</v>
      </c>
    </row>
    <row r="15" customFormat="false" ht="13.5" hidden="false" customHeight="false" outlineLevel="0" collapsed="false">
      <c r="B15" s="0" t="s">
        <v>127</v>
      </c>
      <c r="C15" s="136" t="n">
        <v>0</v>
      </c>
      <c r="D15" s="139" t="n">
        <v>0</v>
      </c>
      <c r="E15" s="140" t="n">
        <v>0</v>
      </c>
      <c r="F15" s="141" t="n">
        <v>0</v>
      </c>
      <c r="G15" s="139" t="n">
        <v>0</v>
      </c>
      <c r="H15" s="140" t="n">
        <v>0</v>
      </c>
      <c r="I15" s="141" t="n">
        <v>0</v>
      </c>
      <c r="J15" s="142" t="n">
        <f aca="false">SUM(D15:I15)</f>
        <v>0</v>
      </c>
      <c r="K15" s="0" t="s">
        <v>122</v>
      </c>
    </row>
    <row r="16" customFormat="false" ht="12.75" hidden="false" customHeight="false" outlineLevel="0" collapsed="false">
      <c r="J16" s="143" t="n">
        <f aca="false">SUM(J7:J15)</f>
        <v>4947</v>
      </c>
    </row>
    <row r="18" customFormat="false" ht="12.75" hidden="false" customHeight="false" outlineLevel="0" collapsed="false">
      <c r="B18" s="118" t="s">
        <v>128</v>
      </c>
    </row>
    <row r="19" customFormat="false" ht="12.75" hidden="false" customHeight="false" outlineLevel="0" collapsed="false">
      <c r="B19" s="144" t="s">
        <v>129</v>
      </c>
      <c r="C19" s="118"/>
      <c r="D19" s="118"/>
    </row>
    <row r="20" customFormat="false" ht="12.75" hidden="false" customHeight="false" outlineLevel="0" collapsed="false">
      <c r="B20" s="144" t="s">
        <v>130</v>
      </c>
      <c r="C20" s="144"/>
      <c r="D20" s="144"/>
    </row>
    <row r="21" customFormat="false" ht="12.75" hidden="false" customHeight="false" outlineLevel="0" collapsed="false">
      <c r="B21" s="0" t="s">
        <v>131</v>
      </c>
    </row>
    <row r="22" customFormat="false" ht="12.75" hidden="false" customHeight="false" outlineLevel="0" collapsed="false">
      <c r="B22" s="0" t="s">
        <v>132</v>
      </c>
    </row>
    <row r="24" customFormat="false" ht="12.75" hidden="false" customHeight="false" outlineLevel="0" collapsed="false">
      <c r="B24" s="118" t="s">
        <v>133</v>
      </c>
      <c r="C24" s="118"/>
      <c r="D24" s="118"/>
    </row>
    <row r="25" customFormat="false" ht="12.75" hidden="false" customHeight="false" outlineLevel="0" collapsed="false">
      <c r="B25" s="0" t="s">
        <v>134</v>
      </c>
    </row>
    <row r="26" customFormat="false" ht="12.75" hidden="false" customHeight="false" outlineLevel="0" collapsed="false">
      <c r="B26" s="0" t="s">
        <v>135</v>
      </c>
    </row>
    <row r="30" customFormat="false" ht="12.75" hidden="false" customHeight="false" outlineLevel="0" collapsed="false">
      <c r="C30" s="127"/>
      <c r="D30" s="127"/>
    </row>
  </sheetData>
  <mergeCells count="2">
    <mergeCell ref="D5:F5"/>
    <mergeCell ref="G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P4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33.41"/>
    <col collapsed="false" customWidth="true" hidden="false" outlineLevel="0" max="3" min="3" style="0" width="10.56"/>
    <col collapsed="false" customWidth="true" hidden="false" outlineLevel="0" max="9" min="4" style="0" width="9.28"/>
    <col collapsed="false" customWidth="true" hidden="false" outlineLevel="0" max="10" min="10" style="0" width="9.85"/>
    <col collapsed="false" customWidth="true" hidden="false" outlineLevel="0" max="11" min="11" style="0" width="10.85"/>
    <col collapsed="false" customWidth="true" hidden="false" outlineLevel="0" max="12" min="12" style="0" width="10.28"/>
    <col collapsed="false" customWidth="true" hidden="false" outlineLevel="0" max="15" min="13" style="0" width="9.41"/>
  </cols>
  <sheetData>
    <row r="2" customFormat="false" ht="12.75" hidden="false" customHeight="false" outlineLevel="0" collapsed="false">
      <c r="B2" s="53" t="s">
        <v>22</v>
      </c>
    </row>
    <row r="3" customFormat="false" ht="12.75" hidden="false" customHeight="false" outlineLevel="0" collapsed="false">
      <c r="B3" s="0" t="s">
        <v>136</v>
      </c>
      <c r="C3" s="56" t="n">
        <v>1000</v>
      </c>
      <c r="D3" s="0" t="s">
        <v>137</v>
      </c>
    </row>
    <row r="4" customFormat="false" ht="12.75" hidden="false" customHeight="false" outlineLevel="0" collapsed="false">
      <c r="B4" s="0" t="s">
        <v>138</v>
      </c>
      <c r="C4" s="56" t="n">
        <v>1130</v>
      </c>
      <c r="D4" s="0" t="s">
        <v>139</v>
      </c>
      <c r="F4" s="56" t="n">
        <v>525</v>
      </c>
      <c r="G4" s="0" t="s">
        <v>140</v>
      </c>
    </row>
    <row r="5" customFormat="false" ht="12.75" hidden="false" customHeight="false" outlineLevel="0" collapsed="false">
      <c r="B5" s="0" t="s">
        <v>141</v>
      </c>
      <c r="C5" s="56" t="n">
        <v>0</v>
      </c>
    </row>
    <row r="6" customFormat="false" ht="12.75" hidden="false" customHeight="false" outlineLevel="0" collapsed="false">
      <c r="B6" s="0" t="s">
        <v>142</v>
      </c>
      <c r="C6" s="54" t="n">
        <v>1</v>
      </c>
    </row>
    <row r="7" customFormat="false" ht="12.75" hidden="false" customHeight="false" outlineLevel="0" collapsed="false">
      <c r="B7" s="0" t="s">
        <v>143</v>
      </c>
      <c r="C7" s="56" t="n">
        <v>150</v>
      </c>
      <c r="D7" s="0" t="s">
        <v>144</v>
      </c>
    </row>
    <row r="8" customFormat="false" ht="12.75" hidden="false" customHeight="false" outlineLevel="0" collapsed="false">
      <c r="B8" s="0" t="s">
        <v>145</v>
      </c>
      <c r="C8" s="56" t="n">
        <v>85</v>
      </c>
      <c r="D8" s="0" t="s">
        <v>144</v>
      </c>
    </row>
    <row r="9" customFormat="false" ht="12.75" hidden="false" customHeight="false" outlineLevel="0" collapsed="false">
      <c r="B9" s="0" t="s">
        <v>146</v>
      </c>
      <c r="C9" s="145" t="n">
        <v>617</v>
      </c>
      <c r="D9" s="0" t="s">
        <v>147</v>
      </c>
    </row>
    <row r="10" customFormat="false" ht="12.75" hidden="false" customHeight="false" outlineLevel="0" collapsed="false">
      <c r="B10" s="0" t="s">
        <v>148</v>
      </c>
      <c r="C10" s="145" t="n">
        <v>1000</v>
      </c>
      <c r="D10" s="0" t="s">
        <v>147</v>
      </c>
    </row>
    <row r="11" customFormat="false" ht="12.75" hidden="false" customHeight="false" outlineLevel="0" collapsed="false">
      <c r="D11" s="58" t="n">
        <v>36617</v>
      </c>
      <c r="E11" s="58" t="n">
        <v>36647</v>
      </c>
      <c r="F11" s="58" t="n">
        <v>36678</v>
      </c>
      <c r="G11" s="58" t="n">
        <v>36708</v>
      </c>
      <c r="H11" s="58" t="n">
        <v>36739</v>
      </c>
      <c r="I11" s="58" t="n">
        <v>36770</v>
      </c>
      <c r="J11" s="58" t="n">
        <v>36800</v>
      </c>
      <c r="K11" s="58" t="n">
        <v>36831</v>
      </c>
      <c r="L11" s="58" t="n">
        <v>36861</v>
      </c>
      <c r="M11" s="58" t="n">
        <v>36892</v>
      </c>
      <c r="N11" s="58" t="n">
        <v>36923</v>
      </c>
      <c r="O11" s="58" t="n">
        <v>36951</v>
      </c>
    </row>
    <row r="12" customFormat="false" ht="12.75" hidden="false" customHeight="false" outlineLevel="0" collapsed="false">
      <c r="B12" s="146" t="s">
        <v>149</v>
      </c>
    </row>
    <row r="13" customFormat="false" ht="12.75" hidden="false" customHeight="false" outlineLevel="0" collapsed="false">
      <c r="B13" s="0" t="s">
        <v>136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64" t="n">
        <v>0</v>
      </c>
      <c r="K13" s="64" t="n">
        <f aca="false">C3</f>
        <v>1000</v>
      </c>
      <c r="L13" s="0" t="n">
        <v>0</v>
      </c>
      <c r="M13" s="0" t="n">
        <v>0</v>
      </c>
      <c r="N13" s="0" t="n">
        <v>0</v>
      </c>
      <c r="O13" s="0" t="n">
        <v>0</v>
      </c>
    </row>
    <row r="14" customFormat="false" ht="12.75" hidden="false" customHeight="false" outlineLevel="0" collapsed="false">
      <c r="B14" s="0" t="s">
        <v>150</v>
      </c>
      <c r="D14" s="147" t="n">
        <v>0</v>
      </c>
      <c r="E14" s="147" t="n">
        <v>0</v>
      </c>
      <c r="F14" s="147" t="n">
        <v>0</v>
      </c>
      <c r="G14" s="147" t="n">
        <v>0</v>
      </c>
      <c r="H14" s="147" t="n">
        <v>50</v>
      </c>
      <c r="I14" s="147" t="n">
        <v>10</v>
      </c>
      <c r="J14" s="147" t="n">
        <v>501</v>
      </c>
      <c r="K14" s="147" t="n">
        <v>1000</v>
      </c>
      <c r="L14" s="73" t="n">
        <v>0</v>
      </c>
      <c r="M14" s="73" t="n">
        <v>400</v>
      </c>
      <c r="N14" s="73" t="n">
        <v>1797</v>
      </c>
      <c r="O14" s="73" t="n">
        <v>1500</v>
      </c>
      <c r="P14" s="0" t="s">
        <v>151</v>
      </c>
    </row>
    <row r="15" customFormat="false" ht="12.75" hidden="false" customHeight="false" outlineLevel="0" collapsed="false">
      <c r="B15" s="0" t="s">
        <v>152</v>
      </c>
      <c r="D15" s="0" t="n">
        <f aca="false">Revenue!D10</f>
        <v>0</v>
      </c>
      <c r="E15" s="0" t="n">
        <f aca="false">Revenue!E10</f>
        <v>0</v>
      </c>
      <c r="F15" s="0" t="n">
        <f aca="false">Revenue!F10</f>
        <v>0</v>
      </c>
      <c r="G15" s="0" t="n">
        <f aca="false">Revenue!G10</f>
        <v>0</v>
      </c>
      <c r="H15" s="0" t="n">
        <f aca="false">Revenue!H10</f>
        <v>0</v>
      </c>
      <c r="I15" s="0" t="n">
        <f aca="false">Revenue!I10</f>
        <v>0</v>
      </c>
      <c r="J15" s="0" t="n">
        <f aca="false">Revenue!J10</f>
        <v>0</v>
      </c>
      <c r="K15" s="0" t="n">
        <f aca="false">Revenue!K10</f>
        <v>0</v>
      </c>
      <c r="L15" s="0" t="n">
        <f aca="false">Revenue!L10</f>
        <v>1100</v>
      </c>
      <c r="M15" s="0" t="n">
        <f aca="false">Revenue!M10</f>
        <v>400</v>
      </c>
      <c r="N15" s="0" t="n">
        <f aca="false">Revenue!N10</f>
        <v>1797</v>
      </c>
      <c r="O15" s="0" t="n">
        <f aca="false">Revenue!O10</f>
        <v>1500</v>
      </c>
    </row>
    <row r="16" customFormat="false" ht="12.75" hidden="false" customHeight="false" outlineLevel="0" collapsed="false">
      <c r="B16" s="0" t="s">
        <v>153</v>
      </c>
      <c r="D16" s="94" t="n">
        <f aca="false">$C$4</f>
        <v>1130</v>
      </c>
      <c r="E16" s="94" t="n">
        <f aca="false">$C$4</f>
        <v>1130</v>
      </c>
      <c r="F16" s="94" t="n">
        <f aca="false">$C$4</f>
        <v>1130</v>
      </c>
      <c r="G16" s="94" t="n">
        <f aca="false">$C$4</f>
        <v>1130</v>
      </c>
      <c r="H16" s="94" t="n">
        <f aca="false">$C$4</f>
        <v>1130</v>
      </c>
      <c r="I16" s="94" t="n">
        <f aca="false">$C$4</f>
        <v>1130</v>
      </c>
      <c r="J16" s="94" t="n">
        <f aca="false">$C$4</f>
        <v>1130</v>
      </c>
      <c r="K16" s="94" t="n">
        <f aca="false">$C$4</f>
        <v>1130</v>
      </c>
      <c r="L16" s="94" t="n">
        <f aca="false">$F$4</f>
        <v>525</v>
      </c>
      <c r="M16" s="94" t="n">
        <f aca="false">$F$4</f>
        <v>525</v>
      </c>
      <c r="N16" s="94" t="n">
        <f aca="false">$F$4</f>
        <v>525</v>
      </c>
      <c r="O16" s="94" t="n">
        <f aca="false">$F$4</f>
        <v>525</v>
      </c>
    </row>
    <row r="17" customFormat="false" ht="12.75" hidden="false" customHeight="false" outlineLevel="0" collapsed="false">
      <c r="B17" s="0" t="s">
        <v>146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64" t="n">
        <v>0</v>
      </c>
      <c r="K17" s="148" t="n">
        <v>0</v>
      </c>
      <c r="L17" s="148" t="n">
        <f aca="false">C9</f>
        <v>617</v>
      </c>
      <c r="M17" s="0" t="n">
        <v>0</v>
      </c>
      <c r="N17" s="0" t="n">
        <v>0</v>
      </c>
      <c r="O17" s="0" t="n">
        <v>0</v>
      </c>
    </row>
    <row r="18" customFormat="false" ht="12.75" hidden="false" customHeight="false" outlineLevel="0" collapsed="false">
      <c r="B18" s="0" t="s">
        <v>148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64" t="n">
        <v>0</v>
      </c>
      <c r="K18" s="0" t="n">
        <v>0</v>
      </c>
      <c r="L18" s="148" t="n">
        <f aca="false">C10</f>
        <v>1000</v>
      </c>
      <c r="M18" s="0" t="n">
        <v>0</v>
      </c>
      <c r="N18" s="0" t="n">
        <v>0</v>
      </c>
      <c r="O18" s="0" t="n">
        <v>0</v>
      </c>
    </row>
    <row r="19" customFormat="false" ht="12.75" hidden="false" customHeight="false" outlineLevel="0" collapsed="false">
      <c r="B19" s="149" t="s">
        <v>154</v>
      </c>
      <c r="C19" s="149"/>
      <c r="D19" s="150" t="n">
        <f aca="false">D16*D14/1000*$C$6+D13</f>
        <v>0</v>
      </c>
      <c r="E19" s="150" t="n">
        <f aca="false">E16*E14/1000*$C$6+E13</f>
        <v>0</v>
      </c>
      <c r="F19" s="150" t="n">
        <f aca="false">F16*F14/1000*$C$6+F13</f>
        <v>0</v>
      </c>
      <c r="G19" s="150" t="n">
        <f aca="false">G16*G14/1000*$C$6+G13</f>
        <v>0</v>
      </c>
      <c r="H19" s="150" t="n">
        <f aca="false">H16*H14/1000*$C$6+H13</f>
        <v>56.5</v>
      </c>
      <c r="I19" s="150" t="n">
        <f aca="false">I16*I14/1000*$C$6+I13</f>
        <v>11.3</v>
      </c>
      <c r="J19" s="150" t="n">
        <f aca="false">J16*J14/1000*$C$6+J13</f>
        <v>566.13</v>
      </c>
      <c r="K19" s="150" t="n">
        <f aca="false">K16*K14/1000*$C$6+K13+K17</f>
        <v>2130</v>
      </c>
      <c r="L19" s="150" t="n">
        <f aca="false">L16*L14/1000*$C$6+L13+L17+L18</f>
        <v>1617</v>
      </c>
      <c r="M19" s="150" t="n">
        <f aca="false">M16*M14/1000*$C$6+M13</f>
        <v>210</v>
      </c>
      <c r="N19" s="150" t="n">
        <f aca="false">N16*N14/1000*$C$6+N13</f>
        <v>943.425</v>
      </c>
      <c r="O19" s="150" t="n">
        <f aca="false">O16*O14/1000*$C$6+O13</f>
        <v>787.5</v>
      </c>
      <c r="P19" s="64"/>
    </row>
    <row r="20" customFormat="false" ht="12.75" hidden="false" customHeight="false" outlineLevel="0" collapsed="false">
      <c r="B20" s="149"/>
      <c r="C20" s="149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</row>
    <row r="21" customFormat="false" ht="12.75" hidden="false" customHeight="false" outlineLevel="0" collapsed="false">
      <c r="B21" s="149" t="s">
        <v>155</v>
      </c>
      <c r="C21" s="149"/>
      <c r="D21" s="150" t="n">
        <f aca="false">$C$7*D15/1000</f>
        <v>0</v>
      </c>
      <c r="E21" s="150" t="n">
        <f aca="false">$C$7*E15/1000</f>
        <v>0</v>
      </c>
      <c r="F21" s="150" t="n">
        <f aca="false">$C$7*F15/1000</f>
        <v>0</v>
      </c>
      <c r="G21" s="150" t="n">
        <f aca="false">$C$7*G15/1000</f>
        <v>0</v>
      </c>
      <c r="H21" s="150" t="n">
        <f aca="false">$C$7*H15/1000</f>
        <v>0</v>
      </c>
      <c r="I21" s="150" t="n">
        <f aca="false">$C$7*I15/1000</f>
        <v>0</v>
      </c>
      <c r="J21" s="150" t="n">
        <f aca="false">$C$7*J15/1000</f>
        <v>0</v>
      </c>
      <c r="K21" s="150" t="n">
        <f aca="false">$C$7*K15/1000</f>
        <v>0</v>
      </c>
      <c r="L21" s="150" t="n">
        <f aca="false">$C$7*L15/1000</f>
        <v>165</v>
      </c>
      <c r="M21" s="150" t="n">
        <f aca="false">$C$7*M15/1000</f>
        <v>60</v>
      </c>
      <c r="N21" s="150" t="n">
        <f aca="false">$C$7*N15/1000</f>
        <v>269.55</v>
      </c>
      <c r="O21" s="150" t="n">
        <f aca="false">$C$7*O15/1000</f>
        <v>225</v>
      </c>
    </row>
    <row r="22" customFormat="false" ht="12.75" hidden="false" customHeight="false" outlineLevel="0" collapsed="false"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</row>
    <row r="23" customFormat="false" ht="12.75" hidden="false" customHeight="false" outlineLevel="0" collapsed="false">
      <c r="B23" s="149" t="s">
        <v>156</v>
      </c>
      <c r="C23" s="149"/>
      <c r="D23" s="150" t="n">
        <f aca="false">$C$8*D15/1000</f>
        <v>0</v>
      </c>
      <c r="E23" s="150" t="n">
        <f aca="false">$C$8*E15/1000</f>
        <v>0</v>
      </c>
      <c r="F23" s="150" t="n">
        <f aca="false">$C$8*F15/1000</f>
        <v>0</v>
      </c>
      <c r="G23" s="150" t="n">
        <f aca="false">$C$8*G15/1000</f>
        <v>0</v>
      </c>
      <c r="H23" s="150" t="n">
        <f aca="false">$C$8*H15/1000</f>
        <v>0</v>
      </c>
      <c r="I23" s="150" t="n">
        <f aca="false">$C$8*I15/1000</f>
        <v>0</v>
      </c>
      <c r="J23" s="150" t="n">
        <f aca="false">$C$8*J15/1000</f>
        <v>0</v>
      </c>
      <c r="K23" s="150" t="n">
        <f aca="false">$C$8*K15/1000</f>
        <v>0</v>
      </c>
      <c r="L23" s="150" t="n">
        <f aca="false">$C$8*L15/1000</f>
        <v>93.5</v>
      </c>
      <c r="M23" s="150" t="n">
        <f aca="false">$C$8*M15/1000</f>
        <v>34</v>
      </c>
      <c r="N23" s="150" t="n">
        <f aca="false">$C$8*N15/1000</f>
        <v>152.745</v>
      </c>
      <c r="O23" s="150" t="n">
        <f aca="false">$C$8*O15/1000</f>
        <v>127.5</v>
      </c>
    </row>
    <row r="24" customFormat="false" ht="12.75" hidden="false" customHeight="false" outlineLevel="0" collapsed="false">
      <c r="B24" s="118"/>
    </row>
    <row r="25" customFormat="false" ht="13.5" hidden="false" customHeight="false" outlineLevel="0" collapsed="false">
      <c r="B25" s="68" t="s">
        <v>16</v>
      </c>
      <c r="C25" s="68"/>
      <c r="D25" s="69" t="n">
        <f aca="false">D19+D21+D23</f>
        <v>0</v>
      </c>
      <c r="E25" s="69" t="n">
        <f aca="false">E19+E21+E23</f>
        <v>0</v>
      </c>
      <c r="F25" s="69" t="n">
        <f aca="false">F19+F21+F23</f>
        <v>0</v>
      </c>
      <c r="G25" s="69" t="n">
        <f aca="false">G19+G21+G23</f>
        <v>0</v>
      </c>
      <c r="H25" s="69" t="n">
        <f aca="false">H19+H21+H23</f>
        <v>56.5</v>
      </c>
      <c r="I25" s="69" t="n">
        <f aca="false">I19+I21+I23</f>
        <v>11.3</v>
      </c>
      <c r="J25" s="69" t="n">
        <f aca="false">J19+J21+J23</f>
        <v>566.13</v>
      </c>
      <c r="K25" s="69" t="n">
        <f aca="false">K19+K21+K23</f>
        <v>2130</v>
      </c>
      <c r="L25" s="69" t="n">
        <f aca="false">L19+L21+L23</f>
        <v>1875.5</v>
      </c>
      <c r="M25" s="69" t="n">
        <f aca="false">M19+M21+M23</f>
        <v>304</v>
      </c>
      <c r="N25" s="69" t="n">
        <f aca="false">N19+N21+N23</f>
        <v>1365.72</v>
      </c>
      <c r="O25" s="69" t="n">
        <f aca="false">O19+O21+O23</f>
        <v>1140</v>
      </c>
      <c r="P25" s="64" t="n">
        <f aca="false">SUM(I25:O25)-K13-L18-L17</f>
        <v>4775.65</v>
      </c>
    </row>
    <row r="26" customFormat="false" ht="10.5" hidden="false" customHeight="true" outlineLevel="0" collapsed="false"/>
    <row r="27" customFormat="false" ht="13.5" hidden="true" customHeight="false" outlineLevel="0" collapsed="false">
      <c r="B27" s="120" t="s">
        <v>108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</row>
    <row r="28" customFormat="false" ht="12.75" hidden="true" customHeight="false" outlineLevel="0" collapsed="false">
      <c r="B28" s="121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3"/>
    </row>
    <row r="29" customFormat="false" ht="12.75" hidden="true" customHeight="false" outlineLevel="0" collapsed="false"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3"/>
    </row>
    <row r="30" customFormat="false" ht="12.75" hidden="true" customHeight="false" outlineLevel="0" collapsed="false"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3"/>
    </row>
    <row r="31" customFormat="false" ht="12.75" hidden="true" customHeight="false" outlineLevel="0" collapsed="false"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3"/>
    </row>
    <row r="32" customFormat="false" ht="12.75" hidden="true" customHeight="false" outlineLevel="0" collapsed="false">
      <c r="B32" s="121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3"/>
    </row>
    <row r="33" customFormat="false" ht="12.75" hidden="true" customHeight="false" outlineLevel="0" collapsed="false"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</row>
    <row r="34" customFormat="false" ht="12.75" hidden="true" customHeight="false" outlineLevel="0" collapsed="false"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3"/>
    </row>
    <row r="35" customFormat="false" ht="12.75" hidden="true" customHeight="false" outlineLevel="0" collapsed="false">
      <c r="B35" s="121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3"/>
    </row>
    <row r="36" customFormat="false" ht="13.5" hidden="true" customHeight="false" outlineLevel="0" collapsed="false">
      <c r="B36" s="124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6"/>
    </row>
    <row r="38" customFormat="false" ht="12.75" hidden="false" customHeight="false" outlineLevel="0" collapsed="false">
      <c r="B38" s="0" t="s">
        <v>128</v>
      </c>
    </row>
    <row r="39" customFormat="false" ht="12.75" hidden="false" customHeight="false" outlineLevel="0" collapsed="false">
      <c r="B39" s="0" t="s">
        <v>157</v>
      </c>
      <c r="K39" s="64" t="n">
        <f aca="false">(H14+I14+J14+K14)*C4</f>
        <v>1763930</v>
      </c>
    </row>
    <row r="40" customFormat="false" ht="12.75" hidden="false" customHeight="false" outlineLevel="0" collapsed="false">
      <c r="B40" s="0" t="s">
        <v>158</v>
      </c>
    </row>
    <row r="41" customFormat="false" ht="12.75" hidden="false" customHeight="false" outlineLevel="0" collapsed="false">
      <c r="B41" s="0" t="s">
        <v>159</v>
      </c>
      <c r="J41" s="0" t="n">
        <f aca="false">4.364-2.6</f>
        <v>1.764</v>
      </c>
    </row>
    <row r="42" customFormat="false" ht="12.75" hidden="false" customHeight="false" outlineLevel="0" collapsed="false">
      <c r="M42" s="0" t="n">
        <v>1.9</v>
      </c>
      <c r="N42" s="0" t="s">
        <v>160</v>
      </c>
    </row>
    <row r="43" customFormat="false" ht="12.75" hidden="false" customHeight="false" outlineLevel="0" collapsed="false">
      <c r="M43" s="0" t="n">
        <v>2.6</v>
      </c>
      <c r="N43" s="0" t="s">
        <v>161</v>
      </c>
    </row>
    <row r="44" customFormat="false" ht="12.75" hidden="false" customHeight="false" outlineLevel="0" collapsed="false">
      <c r="M44" s="0" t="n">
        <v>1.764</v>
      </c>
      <c r="N44" s="0" t="s">
        <v>162</v>
      </c>
    </row>
    <row r="45" customFormat="false" ht="12.75" hidden="false" customHeight="false" outlineLevel="0" collapsed="false">
      <c r="M45" s="0" t="n">
        <v>0.702</v>
      </c>
      <c r="N45" s="0" t="s">
        <v>163</v>
      </c>
    </row>
    <row r="46" customFormat="false" ht="12.75" hidden="false" customHeight="false" outlineLevel="0" collapsed="false">
      <c r="M46" s="0" t="n">
        <v>0.408</v>
      </c>
      <c r="N46" s="0" t="s">
        <v>164</v>
      </c>
    </row>
    <row r="47" customFormat="false" ht="12.75" hidden="false" customHeight="false" outlineLevel="0" collapsed="false">
      <c r="M47" s="0" t="n">
        <f aca="false">SUM(M42:M46)</f>
        <v>7.374</v>
      </c>
    </row>
  </sheetData>
  <mergeCells count="1">
    <mergeCell ref="B27:O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X39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J31" activeCellId="0" sqref="J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2.7"/>
    <col collapsed="false" customWidth="true" hidden="false" outlineLevel="0" max="3" min="3" style="0" width="28.99"/>
    <col collapsed="false" customWidth="true" hidden="false" outlineLevel="0" max="4" min="4" style="0" width="9.41"/>
    <col collapsed="false" customWidth="true" hidden="false" outlineLevel="0" max="9" min="9" style="0" width="8.56"/>
  </cols>
  <sheetData>
    <row r="3" customFormat="false" ht="12.75" hidden="false" customHeight="false" outlineLevel="0" collapsed="false">
      <c r="C3" s="53" t="s">
        <v>22</v>
      </c>
    </row>
    <row r="4" customFormat="false" ht="20.25" hidden="false" customHeight="false" outlineLevel="0" collapsed="false">
      <c r="C4" s="70" t="s">
        <v>165</v>
      </c>
      <c r="H4" s="151"/>
    </row>
    <row r="5" customFormat="false" ht="12.75" hidden="false" customHeight="false" outlineLevel="0" collapsed="false">
      <c r="C5" s="0" t="s">
        <v>166</v>
      </c>
      <c r="D5" s="56" t="n">
        <f aca="false">350000/1000</f>
        <v>350</v>
      </c>
      <c r="E5" s="0" t="s">
        <v>167</v>
      </c>
    </row>
    <row r="6" customFormat="false" ht="12.75" hidden="false" customHeight="false" outlineLevel="0" collapsed="false">
      <c r="C6" s="0" t="s">
        <v>168</v>
      </c>
      <c r="D6" s="56" t="n">
        <v>35</v>
      </c>
      <c r="E6" s="0" t="s">
        <v>169</v>
      </c>
    </row>
    <row r="7" customFormat="false" ht="12.75" hidden="false" customHeight="false" outlineLevel="0" collapsed="false">
      <c r="C7" s="0" t="s">
        <v>170</v>
      </c>
      <c r="D7" s="152" t="n">
        <v>0.006</v>
      </c>
      <c r="E7" s="0" t="s">
        <v>171</v>
      </c>
    </row>
    <row r="8" customFormat="false" ht="12.75" hidden="false" customHeight="false" outlineLevel="0" collapsed="false">
      <c r="C8" s="0" t="s">
        <v>172</v>
      </c>
      <c r="D8" s="54" t="n">
        <v>0.02</v>
      </c>
      <c r="E8" s="0" t="s">
        <v>173</v>
      </c>
    </row>
    <row r="10" customFormat="false" ht="18" hidden="false" customHeight="true" outlineLevel="0" collapsed="false">
      <c r="C10" s="70" t="s">
        <v>174</v>
      </c>
    </row>
    <row r="11" customFormat="false" ht="12.75" hidden="false" customHeight="false" outlineLevel="0" collapsed="false">
      <c r="C11" s="0" t="s">
        <v>175</v>
      </c>
      <c r="D11" s="56" t="n">
        <v>100</v>
      </c>
    </row>
    <row r="12" customFormat="false" ht="12.75" hidden="false" customHeight="false" outlineLevel="0" collapsed="false">
      <c r="C12" s="0" t="s">
        <v>176</v>
      </c>
      <c r="D12" s="152" t="n">
        <v>0.01</v>
      </c>
      <c r="E12" s="0" t="s">
        <v>171</v>
      </c>
    </row>
    <row r="14" customFormat="false" ht="12.75" hidden="false" customHeight="false" outlineLevel="0" collapsed="false">
      <c r="C14" s="0" t="s">
        <v>177</v>
      </c>
      <c r="D14" s="153" t="n">
        <v>4.99</v>
      </c>
    </row>
    <row r="18" customFormat="false" ht="12.75" hidden="false" customHeight="false" outlineLevel="0" collapsed="false">
      <c r="D18" s="58" t="n">
        <v>36617</v>
      </c>
      <c r="E18" s="58" t="n">
        <v>36647</v>
      </c>
      <c r="F18" s="58" t="n">
        <v>36678</v>
      </c>
      <c r="G18" s="58" t="n">
        <v>36708</v>
      </c>
      <c r="H18" s="58" t="n">
        <v>36739</v>
      </c>
      <c r="I18" s="58" t="n">
        <v>36770</v>
      </c>
      <c r="J18" s="58" t="n">
        <v>36800</v>
      </c>
      <c r="K18" s="58" t="n">
        <v>36831</v>
      </c>
      <c r="L18" s="58" t="n">
        <v>36861</v>
      </c>
      <c r="M18" s="58" t="n">
        <v>36892</v>
      </c>
      <c r="N18" s="58" t="n">
        <v>36923</v>
      </c>
      <c r="O18" s="58" t="n">
        <v>36951</v>
      </c>
    </row>
    <row r="20" customFormat="false" ht="12.75" hidden="false" customHeight="false" outlineLevel="0" collapsed="false">
      <c r="C20" s="0" t="s">
        <v>178</v>
      </c>
      <c r="D20" s="0" t="n">
        <f aca="false">Revenue!D11</f>
        <v>0</v>
      </c>
      <c r="E20" s="0" t="n">
        <f aca="false">Revenue!E11</f>
        <v>0</v>
      </c>
      <c r="F20" s="0" t="n">
        <f aca="false">Revenue!F11</f>
        <v>0</v>
      </c>
      <c r="G20" s="0" t="n">
        <f aca="false">Revenue!G11</f>
        <v>0</v>
      </c>
      <c r="H20" s="0" t="n">
        <f aca="false">Revenue!H11</f>
        <v>0</v>
      </c>
      <c r="I20" s="0" t="n">
        <f aca="false">Revenue!I11</f>
        <v>0</v>
      </c>
      <c r="J20" s="0" t="n">
        <f aca="false">Revenue!J11</f>
        <v>0</v>
      </c>
      <c r="K20" s="0" t="n">
        <f aca="false">Revenue!K11</f>
        <v>0</v>
      </c>
      <c r="L20" s="0" t="n">
        <f aca="false">Revenue!L11</f>
        <v>1100</v>
      </c>
      <c r="M20" s="0" t="n">
        <f aca="false">Revenue!M11</f>
        <v>1500</v>
      </c>
      <c r="N20" s="0" t="n">
        <f aca="false">Revenue!N11</f>
        <v>3297</v>
      </c>
      <c r="O20" s="0" t="n">
        <f aca="false">Revenue!O11</f>
        <v>4797</v>
      </c>
    </row>
    <row r="21" customFormat="false" ht="12.75" hidden="false" customHeight="false" outlineLevel="0" collapsed="false">
      <c r="C21" s="0" t="s">
        <v>30</v>
      </c>
      <c r="D21" s="154" t="n">
        <f aca="false">Revenue!D13</f>
        <v>4</v>
      </c>
      <c r="E21" s="154" t="n">
        <f aca="false">Revenue!E13</f>
        <v>4</v>
      </c>
      <c r="F21" s="154" t="n">
        <f aca="false">Revenue!F13</f>
        <v>4</v>
      </c>
      <c r="G21" s="154" t="n">
        <f aca="false">Revenue!G13</f>
        <v>4</v>
      </c>
      <c r="H21" s="154" t="n">
        <f aca="false">Revenue!H13</f>
        <v>4</v>
      </c>
      <c r="I21" s="154" t="n">
        <f aca="false">Revenue!I13</f>
        <v>4</v>
      </c>
      <c r="J21" s="154" t="n">
        <f aca="false">Revenue!J13</f>
        <v>4</v>
      </c>
      <c r="K21" s="154" t="n">
        <f aca="false">Revenue!K13</f>
        <v>4</v>
      </c>
      <c r="L21" s="154" t="n">
        <f aca="false">Revenue!L13</f>
        <v>4</v>
      </c>
      <c r="M21" s="154" t="n">
        <f aca="false">Revenue!M13</f>
        <v>4</v>
      </c>
      <c r="N21" s="154" t="n">
        <f aca="false">Revenue!N13</f>
        <v>4</v>
      </c>
      <c r="O21" s="154" t="n">
        <f aca="false">Revenue!O13</f>
        <v>4</v>
      </c>
    </row>
    <row r="22" customFormat="false" ht="12.75" hidden="false" customHeight="false" outlineLevel="0" collapsed="false">
      <c r="C22" s="0" t="s">
        <v>179</v>
      </c>
      <c r="D22" s="0" t="n">
        <f aca="false">D21*12</f>
        <v>48</v>
      </c>
      <c r="E22" s="74" t="n">
        <f aca="false">E21*12</f>
        <v>48</v>
      </c>
      <c r="F22" s="74" t="n">
        <f aca="false">F21*12</f>
        <v>48</v>
      </c>
      <c r="G22" s="74" t="n">
        <f aca="false">G21*12</f>
        <v>48</v>
      </c>
      <c r="H22" s="74" t="n">
        <f aca="false">H21*12</f>
        <v>48</v>
      </c>
      <c r="I22" s="0" t="n">
        <f aca="false">I21*12</f>
        <v>48</v>
      </c>
      <c r="J22" s="0" t="n">
        <f aca="false">J21*12</f>
        <v>48</v>
      </c>
      <c r="K22" s="0" t="n">
        <f aca="false">K21*12</f>
        <v>48</v>
      </c>
      <c r="L22" s="0" t="n">
        <f aca="false">L21*12</f>
        <v>48</v>
      </c>
      <c r="M22" s="0" t="n">
        <f aca="false">M21*12</f>
        <v>48</v>
      </c>
      <c r="N22" s="0" t="n">
        <f aca="false">N21*12</f>
        <v>48</v>
      </c>
      <c r="O22" s="0" t="n">
        <f aca="false">O21*12</f>
        <v>48</v>
      </c>
      <c r="P22" s="155"/>
      <c r="Q22" s="155"/>
      <c r="R22" s="155"/>
      <c r="S22" s="155"/>
      <c r="T22" s="155"/>
      <c r="U22" s="155"/>
      <c r="V22" s="155"/>
      <c r="W22" s="155"/>
      <c r="X22" s="155"/>
    </row>
    <row r="23" customFormat="false" ht="12.75" hidden="false" customHeight="false" outlineLevel="0" collapsed="false">
      <c r="C23" s="0" t="s">
        <v>180</v>
      </c>
      <c r="D23" s="94" t="n">
        <f aca="false">D14</f>
        <v>4.99</v>
      </c>
      <c r="E23" s="94" t="n">
        <f aca="false">D23</f>
        <v>4.99</v>
      </c>
      <c r="F23" s="94" t="n">
        <f aca="false">E23</f>
        <v>4.99</v>
      </c>
      <c r="G23" s="94" t="n">
        <f aca="false">F23</f>
        <v>4.99</v>
      </c>
      <c r="H23" s="94" t="n">
        <f aca="false">G23</f>
        <v>4.99</v>
      </c>
      <c r="I23" s="94" t="n">
        <f aca="false">H23</f>
        <v>4.99</v>
      </c>
      <c r="J23" s="94" t="n">
        <f aca="false">I23</f>
        <v>4.99</v>
      </c>
      <c r="K23" s="94" t="n">
        <f aca="false">J23</f>
        <v>4.99</v>
      </c>
      <c r="L23" s="94" t="n">
        <f aca="false">K23</f>
        <v>4.99</v>
      </c>
      <c r="M23" s="94" t="n">
        <f aca="false">L23</f>
        <v>4.99</v>
      </c>
      <c r="N23" s="94" t="n">
        <f aca="false">M23</f>
        <v>4.99</v>
      </c>
      <c r="O23" s="94" t="n">
        <f aca="false">N23</f>
        <v>4.99</v>
      </c>
    </row>
    <row r="24" customFormat="false" ht="12.75" hidden="false" customHeight="false" outlineLevel="0" collapsed="false">
      <c r="C24" s="0" t="s">
        <v>32</v>
      </c>
      <c r="D24" s="64" t="n">
        <f aca="false">D23*D22*D20/1000</f>
        <v>0</v>
      </c>
      <c r="E24" s="64" t="n">
        <f aca="false">E23*E22*E20/1000</f>
        <v>0</v>
      </c>
      <c r="F24" s="64" t="n">
        <f aca="false">F23*F22*F20/1000</f>
        <v>0</v>
      </c>
      <c r="G24" s="64" t="n">
        <f aca="false">G23*G22*G20/1000</f>
        <v>0</v>
      </c>
      <c r="H24" s="64" t="n">
        <f aca="false">H23*H22*H20/1000</f>
        <v>0</v>
      </c>
      <c r="I24" s="64" t="n">
        <f aca="false">I23*I22*I20/1000</f>
        <v>0</v>
      </c>
      <c r="J24" s="64" t="n">
        <f aca="false">J23*J22*J20/1000</f>
        <v>0</v>
      </c>
      <c r="K24" s="64" t="n">
        <f aca="false">K23*K22*K20/1000</f>
        <v>0</v>
      </c>
      <c r="L24" s="64" t="n">
        <f aca="false">L23*L22*L20/1000</f>
        <v>263.472</v>
      </c>
      <c r="M24" s="64" t="n">
        <f aca="false">M23*M22*M20/1000</f>
        <v>359.28</v>
      </c>
      <c r="N24" s="64" t="n">
        <f aca="false">N23*N22*N20/1000</f>
        <v>789.69744</v>
      </c>
      <c r="O24" s="64" t="n">
        <f aca="false">O23*O22*O20/1000</f>
        <v>1148.97744</v>
      </c>
    </row>
    <row r="26" customFormat="false" ht="12.75" hidden="false" customHeight="false" outlineLevel="0" collapsed="false">
      <c r="C26" s="0" t="s">
        <v>181</v>
      </c>
      <c r="D26" s="56" t="n">
        <v>0</v>
      </c>
      <c r="E26" s="56" t="n">
        <v>0</v>
      </c>
      <c r="F26" s="56" t="n">
        <v>0</v>
      </c>
      <c r="G26" s="56" t="n">
        <v>0</v>
      </c>
      <c r="H26" s="56" t="n">
        <v>0</v>
      </c>
      <c r="I26" s="64" t="n">
        <v>0</v>
      </c>
      <c r="J26" s="64" t="n">
        <v>0</v>
      </c>
      <c r="K26" s="64" t="n">
        <f aca="false">D5</f>
        <v>350</v>
      </c>
      <c r="L26" s="64" t="n">
        <v>0</v>
      </c>
      <c r="M26" s="64" t="n">
        <v>0</v>
      </c>
      <c r="N26" s="64" t="n">
        <v>0</v>
      </c>
      <c r="O26" s="64" t="n">
        <v>0</v>
      </c>
    </row>
    <row r="27" customFormat="false" ht="12.75" hidden="false" customHeight="false" outlineLevel="0" collapsed="false">
      <c r="C27" s="0" t="s">
        <v>168</v>
      </c>
      <c r="D27" s="56" t="n">
        <v>0</v>
      </c>
      <c r="E27" s="56" t="n">
        <v>0</v>
      </c>
      <c r="F27" s="56" t="n">
        <v>0</v>
      </c>
      <c r="G27" s="56" t="n">
        <v>0</v>
      </c>
      <c r="H27" s="56" t="n">
        <v>0</v>
      </c>
      <c r="I27" s="64" t="n">
        <f aca="false">$D$6</f>
        <v>35</v>
      </c>
      <c r="J27" s="64" t="n">
        <v>0</v>
      </c>
      <c r="K27" s="64" t="n">
        <v>0</v>
      </c>
      <c r="L27" s="64" t="n">
        <f aca="false">$D$6</f>
        <v>35</v>
      </c>
      <c r="M27" s="64" t="n">
        <v>0</v>
      </c>
      <c r="N27" s="64" t="n">
        <v>0</v>
      </c>
      <c r="O27" s="64" t="n">
        <f aca="false">$D$6</f>
        <v>35</v>
      </c>
    </row>
    <row r="28" customFormat="false" ht="12.75" hidden="false" customHeight="false" outlineLevel="0" collapsed="false">
      <c r="C28" s="0" t="s">
        <v>182</v>
      </c>
      <c r="D28" s="64" t="n">
        <f aca="false">$D$7*D24</f>
        <v>0</v>
      </c>
      <c r="E28" s="64" t="n">
        <f aca="false">$D$7*E24</f>
        <v>0</v>
      </c>
      <c r="F28" s="64" t="n">
        <f aca="false">$D$7*F24</f>
        <v>0</v>
      </c>
      <c r="G28" s="64" t="n">
        <f aca="false">$D$7*G24</f>
        <v>0</v>
      </c>
      <c r="H28" s="64" t="n">
        <f aca="false">$D$7*H24</f>
        <v>0</v>
      </c>
      <c r="I28" s="64" t="n">
        <v>0</v>
      </c>
      <c r="J28" s="64" t="n">
        <f aca="false">$D$7*J24</f>
        <v>0</v>
      </c>
      <c r="K28" s="64" t="n">
        <f aca="false">$D$7*K24</f>
        <v>0</v>
      </c>
      <c r="L28" s="64" t="n">
        <f aca="false">$D$7*L24</f>
        <v>1.580832</v>
      </c>
      <c r="M28" s="64" t="n">
        <f aca="false">$D$7*M24</f>
        <v>2.15568</v>
      </c>
      <c r="N28" s="64" t="n">
        <f aca="false">$D$7*N24</f>
        <v>4.73818464</v>
      </c>
      <c r="O28" s="64" t="n">
        <f aca="false">$D$7*O24</f>
        <v>6.89386464</v>
      </c>
    </row>
    <row r="29" customFormat="false" ht="12.75" hidden="false" customHeight="false" outlineLevel="0" collapsed="false">
      <c r="C29" s="118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customFormat="false" ht="12.75" hidden="false" customHeight="false" outlineLevel="0" collapsed="false">
      <c r="C30" s="118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customFormat="false" ht="12.75" hidden="false" customHeight="false" outlineLevel="0" collapsed="false">
      <c r="C31" s="0" t="s">
        <v>183</v>
      </c>
      <c r="D31" s="56" t="n">
        <v>0</v>
      </c>
      <c r="E31" s="56" t="n">
        <v>0</v>
      </c>
      <c r="F31" s="56" t="n">
        <v>0</v>
      </c>
      <c r="G31" s="56" t="n">
        <v>0</v>
      </c>
      <c r="H31" s="56" t="n">
        <v>0</v>
      </c>
      <c r="I31" s="56" t="n">
        <v>0</v>
      </c>
      <c r="J31" s="64" t="n">
        <v>100</v>
      </c>
      <c r="K31" s="56" t="n">
        <v>0</v>
      </c>
      <c r="L31" s="56" t="n">
        <v>0</v>
      </c>
      <c r="M31" s="56" t="n">
        <v>0</v>
      </c>
      <c r="N31" s="56" t="n">
        <v>0</v>
      </c>
      <c r="O31" s="56" t="n">
        <v>0</v>
      </c>
    </row>
    <row r="32" customFormat="false" ht="12.75" hidden="false" customHeight="false" outlineLevel="0" collapsed="false">
      <c r="C32" s="0" t="s">
        <v>184</v>
      </c>
      <c r="D32" s="64" t="n">
        <f aca="false">$D$12*D24</f>
        <v>0</v>
      </c>
      <c r="E32" s="64" t="n">
        <f aca="false">$D$12*E24</f>
        <v>0</v>
      </c>
      <c r="F32" s="64" t="n">
        <f aca="false">$D$12*F24</f>
        <v>0</v>
      </c>
      <c r="G32" s="64" t="n">
        <f aca="false">$D$12*G24</f>
        <v>0</v>
      </c>
      <c r="H32" s="64" t="n">
        <f aca="false">$D$12*H24</f>
        <v>0</v>
      </c>
      <c r="I32" s="64" t="n">
        <f aca="false">$D$12*I24</f>
        <v>0</v>
      </c>
      <c r="J32" s="64" t="n">
        <f aca="false">$D$12*J24</f>
        <v>0</v>
      </c>
      <c r="K32" s="64" t="n">
        <f aca="false">$D$12*K24</f>
        <v>0</v>
      </c>
      <c r="L32" s="64" t="n">
        <f aca="false">$D$12*L24</f>
        <v>2.63472</v>
      </c>
      <c r="M32" s="64" t="n">
        <f aca="false">$D$12*M24</f>
        <v>3.5928</v>
      </c>
      <c r="N32" s="64" t="n">
        <f aca="false">$D$12*N24</f>
        <v>7.8969744</v>
      </c>
      <c r="O32" s="64" t="n">
        <f aca="false">$D$12*O24</f>
        <v>11.4897744</v>
      </c>
    </row>
    <row r="33" customFormat="false" ht="12.75" hidden="false" customHeight="false" outlineLevel="0" collapsed="false">
      <c r="C33" s="118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</row>
    <row r="35" customFormat="false" ht="13.5" hidden="false" customHeight="false" outlineLevel="0" collapsed="false">
      <c r="C35" s="68" t="s">
        <v>185</v>
      </c>
      <c r="D35" s="69" t="n">
        <f aca="false">SUM(D26:D28)+SUM(D31:D32)</f>
        <v>0</v>
      </c>
      <c r="E35" s="69" t="n">
        <f aca="false">SUM(E26:E28)+SUM(E31:E32)</f>
        <v>0</v>
      </c>
      <c r="F35" s="69" t="n">
        <f aca="false">SUM(F26:F28)+SUM(F31:F32)</f>
        <v>0</v>
      </c>
      <c r="G35" s="69" t="n">
        <f aca="false">SUM(G26:G28)+SUM(G31:G32)</f>
        <v>0</v>
      </c>
      <c r="H35" s="69" t="n">
        <f aca="false">SUM(H26:H28)+SUM(H31:H32)</f>
        <v>0</v>
      </c>
      <c r="I35" s="69" t="n">
        <f aca="false">SUM(I26:I28)+SUM(I31:I32)</f>
        <v>35</v>
      </c>
      <c r="J35" s="69" t="n">
        <f aca="false">SUM(J26:J28)+SUM(J31:J32)</f>
        <v>100</v>
      </c>
      <c r="K35" s="69" t="n">
        <f aca="false">SUM(K26:K28)+SUM(K31:K32)</f>
        <v>350</v>
      </c>
      <c r="L35" s="69" t="n">
        <f aca="false">SUM(L26:L28)+SUM(L31:L32)</f>
        <v>39.215552</v>
      </c>
      <c r="M35" s="69" t="n">
        <f aca="false">SUM(M26:M28)+SUM(M31:M32)</f>
        <v>5.74848</v>
      </c>
      <c r="N35" s="69" t="n">
        <f aca="false">SUM(N26:N28)+SUM(N31:N32)</f>
        <v>12.63515904</v>
      </c>
      <c r="O35" s="69" t="n">
        <f aca="false">SUM(O26:O28)+SUM(O31:O32)</f>
        <v>53.38363904</v>
      </c>
      <c r="P35" s="64"/>
    </row>
    <row r="36" customFormat="false" ht="13.5" hidden="false" customHeight="false" outlineLevel="0" collapsed="false"/>
    <row r="38" customFormat="false" ht="12.75" hidden="false" customHeight="false" outlineLevel="0" collapsed="false">
      <c r="C38" s="0" t="s">
        <v>186</v>
      </c>
    </row>
    <row r="39" customFormat="false" ht="12.75" hidden="false" customHeight="false" outlineLevel="0" collapsed="false">
      <c r="C39" s="0" t="s">
        <v>187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3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15" activeCellId="0" sqref="L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40.7"/>
    <col collapsed="false" customWidth="true" hidden="false" outlineLevel="0" max="14" min="3" style="0" width="9.56"/>
  </cols>
  <sheetData>
    <row r="2" customFormat="false" ht="12.75" hidden="false" customHeight="false" outlineLevel="0" collapsed="false">
      <c r="B2" s="53" t="s">
        <v>22</v>
      </c>
    </row>
    <row r="4" customFormat="false" ht="12.75" hidden="false" customHeight="false" outlineLevel="0" collapsed="false">
      <c r="B4" s="0" t="s">
        <v>188</v>
      </c>
      <c r="C4" s="73" t="n">
        <v>500</v>
      </c>
    </row>
    <row r="5" customFormat="false" ht="12.75" hidden="false" customHeight="false" outlineLevel="0" collapsed="false">
      <c r="B5" s="0" t="s">
        <v>189</v>
      </c>
      <c r="C5" s="73" t="n">
        <v>50</v>
      </c>
    </row>
    <row r="6" customFormat="false" ht="12.75" hidden="false" customHeight="false" outlineLevel="0" collapsed="false">
      <c r="B6" s="0" t="s">
        <v>190</v>
      </c>
      <c r="C6" s="56" t="n">
        <v>15</v>
      </c>
    </row>
    <row r="7" customFormat="false" ht="12.75" hidden="false" customHeight="false" outlineLevel="0" collapsed="false">
      <c r="B7" s="0" t="s">
        <v>191</v>
      </c>
      <c r="C7" s="73" t="n">
        <f aca="false">2*60</f>
        <v>120</v>
      </c>
    </row>
    <row r="8" customFormat="false" ht="12.75" hidden="false" customHeight="false" outlineLevel="0" collapsed="false">
      <c r="B8" s="0" t="s">
        <v>192</v>
      </c>
      <c r="C8" s="73" t="n">
        <v>1.855</v>
      </c>
    </row>
    <row r="9" customFormat="false" ht="12.75" hidden="false" customHeight="false" outlineLevel="0" collapsed="false">
      <c r="B9" s="144" t="s">
        <v>193</v>
      </c>
      <c r="C9" s="54" t="n">
        <v>1</v>
      </c>
    </row>
    <row r="10" customFormat="false" ht="12.75" hidden="false" customHeight="false" outlineLevel="0" collapsed="false">
      <c r="B10" s="0" t="s">
        <v>194</v>
      </c>
      <c r="C10" s="156" t="n">
        <v>0.2</v>
      </c>
      <c r="D10" s="0" t="s">
        <v>195</v>
      </c>
    </row>
    <row r="11" customFormat="false" ht="12.75" hidden="false" customHeight="false" outlineLevel="0" collapsed="false">
      <c r="C11" s="156"/>
    </row>
    <row r="13" customFormat="false" ht="12.75" hidden="false" customHeight="false" outlineLevel="0" collapsed="false">
      <c r="C13" s="58" t="n">
        <v>36617</v>
      </c>
      <c r="D13" s="58" t="n">
        <v>36647</v>
      </c>
      <c r="E13" s="58" t="n">
        <v>36678</v>
      </c>
      <c r="F13" s="58" t="n">
        <v>36708</v>
      </c>
      <c r="G13" s="58" t="n">
        <v>36739</v>
      </c>
      <c r="H13" s="58" t="n">
        <v>36770</v>
      </c>
      <c r="I13" s="58" t="n">
        <v>36800</v>
      </c>
      <c r="J13" s="58" t="n">
        <v>36831</v>
      </c>
      <c r="K13" s="58" t="n">
        <v>36861</v>
      </c>
      <c r="L13" s="58" t="n">
        <v>36892</v>
      </c>
      <c r="M13" s="58" t="n">
        <v>36923</v>
      </c>
      <c r="N13" s="58" t="n">
        <v>36951</v>
      </c>
    </row>
    <row r="15" customFormat="false" ht="12.75" hidden="false" customHeight="false" outlineLevel="0" collapsed="false">
      <c r="B15" s="0" t="s">
        <v>101</v>
      </c>
      <c r="C15" s="64" t="n">
        <f aca="false">nCube!D33</f>
        <v>0</v>
      </c>
      <c r="D15" s="64" t="n">
        <f aca="false">nCube!E33</f>
        <v>0</v>
      </c>
      <c r="E15" s="64" t="n">
        <f aca="false">nCube!F33</f>
        <v>0</v>
      </c>
      <c r="F15" s="64" t="n">
        <f aca="false">nCube!G33</f>
        <v>0</v>
      </c>
      <c r="G15" s="64" t="n">
        <f aca="false">nCube!H33</f>
        <v>197.497735849057</v>
      </c>
      <c r="H15" s="64" t="n">
        <f aca="false">nCube!I33</f>
        <v>1447.48264150943</v>
      </c>
      <c r="I15" s="64" t="n">
        <f aca="false">nCube!J33</f>
        <v>0</v>
      </c>
      <c r="J15" s="64" t="n">
        <f aca="false">nCube!K33</f>
        <v>0</v>
      </c>
      <c r="K15" s="64" t="n">
        <f aca="false">nCube!L33</f>
        <v>0</v>
      </c>
      <c r="L15" s="64" t="n">
        <f aca="false">nCube!M33</f>
        <v>133.498490566038</v>
      </c>
      <c r="M15" s="64" t="n">
        <f aca="false">nCube!N33</f>
        <v>133.498490566038</v>
      </c>
      <c r="N15" s="64" t="n">
        <f aca="false">nCube!O33</f>
        <v>133.498490566038</v>
      </c>
    </row>
    <row r="17" customFormat="false" ht="12.75" hidden="false" customHeight="false" outlineLevel="0" collapsed="false">
      <c r="B17" s="0" t="s">
        <v>196</v>
      </c>
      <c r="C17" s="0" t="n">
        <f aca="false">Revenue!D11</f>
        <v>0</v>
      </c>
      <c r="D17" s="0" t="n">
        <f aca="false">Revenue!E11</f>
        <v>0</v>
      </c>
      <c r="E17" s="0" t="n">
        <f aca="false">Revenue!F11</f>
        <v>0</v>
      </c>
      <c r="F17" s="0" t="n">
        <f aca="false">Revenue!G11</f>
        <v>0</v>
      </c>
      <c r="G17" s="0" t="n">
        <f aca="false">Revenue!H11</f>
        <v>0</v>
      </c>
      <c r="H17" s="0" t="n">
        <f aca="false">Revenue!I11</f>
        <v>0</v>
      </c>
      <c r="I17" s="0" t="n">
        <f aca="false">Revenue!J11</f>
        <v>0</v>
      </c>
      <c r="J17" s="0" t="n">
        <f aca="false">Revenue!K11</f>
        <v>0</v>
      </c>
      <c r="K17" s="0" t="n">
        <f aca="false">Revenue!L11</f>
        <v>1100</v>
      </c>
      <c r="L17" s="0" t="n">
        <f aca="false">Revenue!M11</f>
        <v>1500</v>
      </c>
      <c r="M17" s="0" t="n">
        <f aca="false">Revenue!N11</f>
        <v>3297</v>
      </c>
      <c r="N17" s="0" t="n">
        <f aca="false">Revenue!O11</f>
        <v>4797</v>
      </c>
    </row>
    <row r="18" customFormat="false" ht="12.75" hidden="false" customHeight="false" outlineLevel="0" collapsed="false">
      <c r="B18" s="144" t="s">
        <v>193</v>
      </c>
      <c r="C18" s="156" t="n">
        <f aca="false">$C$9</f>
        <v>1</v>
      </c>
      <c r="D18" s="156" t="n">
        <f aca="false">$C$9</f>
        <v>1</v>
      </c>
      <c r="E18" s="156" t="n">
        <f aca="false">$C$9</f>
        <v>1</v>
      </c>
      <c r="F18" s="156" t="n">
        <f aca="false">$C$9</f>
        <v>1</v>
      </c>
      <c r="G18" s="156" t="n">
        <f aca="false">$C$9</f>
        <v>1</v>
      </c>
      <c r="H18" s="156" t="n">
        <f aca="false">$C$9</f>
        <v>1</v>
      </c>
      <c r="I18" s="156" t="n">
        <f aca="false">$C$9</f>
        <v>1</v>
      </c>
      <c r="J18" s="156" t="n">
        <f aca="false">$C$9</f>
        <v>1</v>
      </c>
      <c r="K18" s="156" t="n">
        <f aca="false">$C$9</f>
        <v>1</v>
      </c>
      <c r="L18" s="156" t="n">
        <f aca="false">$C$9</f>
        <v>1</v>
      </c>
      <c r="M18" s="156" t="n">
        <f aca="false">$C$9</f>
        <v>1</v>
      </c>
      <c r="N18" s="156" t="n">
        <f aca="false">$C$9</f>
        <v>1</v>
      </c>
    </row>
    <row r="19" customFormat="false" ht="12.75" hidden="false" customHeight="false" outlineLevel="0" collapsed="false">
      <c r="B19" s="0" t="s">
        <v>197</v>
      </c>
      <c r="C19" s="0" t="n">
        <f aca="false">C17/C18</f>
        <v>0</v>
      </c>
      <c r="D19" s="0" t="n">
        <f aca="false">D17/D18</f>
        <v>0</v>
      </c>
      <c r="E19" s="0" t="n">
        <f aca="false">E17/E18</f>
        <v>0</v>
      </c>
      <c r="F19" s="0" t="n">
        <f aca="false">F17/F18</f>
        <v>0</v>
      </c>
      <c r="G19" s="0" t="n">
        <f aca="false">G17/G18</f>
        <v>0</v>
      </c>
      <c r="H19" s="0" t="n">
        <f aca="false">H17/H18</f>
        <v>0</v>
      </c>
      <c r="I19" s="0" t="n">
        <f aca="false">I17/I18</f>
        <v>0</v>
      </c>
      <c r="J19" s="0" t="n">
        <f aca="false">J17/J18</f>
        <v>0</v>
      </c>
      <c r="K19" s="0" t="n">
        <f aca="false">K17/K18</f>
        <v>1100</v>
      </c>
      <c r="L19" s="0" t="n">
        <f aca="false">L17/L18</f>
        <v>1500</v>
      </c>
      <c r="M19" s="0" t="n">
        <f aca="false">M17/M18</f>
        <v>3297</v>
      </c>
      <c r="N19" s="0" t="n">
        <f aca="false">N17/N18</f>
        <v>4797</v>
      </c>
    </row>
    <row r="20" customFormat="false" ht="12.75" hidden="false" customHeight="false" outlineLevel="0" collapsed="false">
      <c r="B20" s="0" t="s">
        <v>198</v>
      </c>
      <c r="C20" s="74" t="n">
        <f aca="false">nCube!D28*nCube!$D$6</f>
        <v>0</v>
      </c>
      <c r="D20" s="74" t="n">
        <f aca="false">nCube!E28*nCube!$D$6</f>
        <v>0</v>
      </c>
      <c r="E20" s="74" t="n">
        <f aca="false">nCube!F28*nCube!$D$6</f>
        <v>0</v>
      </c>
      <c r="F20" s="74" t="n">
        <f aca="false">nCube!G28*nCube!$D$6</f>
        <v>0</v>
      </c>
      <c r="G20" s="74" t="n">
        <f aca="false">nCube!H28*nCube!$D$6</f>
        <v>646.900269541779</v>
      </c>
      <c r="H20" s="74" t="n">
        <f aca="false">nCube!I28*nCube!$D$6</f>
        <v>4959.56873315364</v>
      </c>
      <c r="I20" s="74" t="n">
        <f aca="false">nCube!J28*nCube!$D$6</f>
        <v>0</v>
      </c>
      <c r="J20" s="74" t="n">
        <f aca="false">nCube!K28*nCube!$D$6</f>
        <v>0</v>
      </c>
      <c r="K20" s="74" t="n">
        <f aca="false">nCube!L28*nCube!$D$6</f>
        <v>0</v>
      </c>
      <c r="L20" s="74" t="n">
        <f aca="false">nCube!M28*nCube!$D$6</f>
        <v>431.266846361186</v>
      </c>
      <c r="M20" s="74" t="n">
        <f aca="false">nCube!N28*nCube!$D$6</f>
        <v>431.266846361186</v>
      </c>
      <c r="N20" s="74" t="n">
        <f aca="false">nCube!O28*nCube!$D$6</f>
        <v>431.266846361186</v>
      </c>
    </row>
    <row r="22" customFormat="false" ht="12.75" hidden="false" customHeight="false" outlineLevel="0" collapsed="false">
      <c r="B22" s="0" t="s">
        <v>194</v>
      </c>
      <c r="C22" s="64" t="n">
        <f aca="false">C15*$C$10</f>
        <v>0</v>
      </c>
      <c r="D22" s="64" t="n">
        <f aca="false">D15*$C$10</f>
        <v>0</v>
      </c>
      <c r="E22" s="64" t="n">
        <f aca="false">E15*$C$10</f>
        <v>0</v>
      </c>
      <c r="F22" s="64" t="n">
        <f aca="false">F15*$C$10</f>
        <v>0</v>
      </c>
      <c r="G22" s="64" t="n">
        <f aca="false">G15*$C$10</f>
        <v>39.4995471698113</v>
      </c>
      <c r="H22" s="64" t="n">
        <f aca="false">H15*$C$10</f>
        <v>289.496528301887</v>
      </c>
      <c r="I22" s="64" t="n">
        <f aca="false">I15*$C$10</f>
        <v>0</v>
      </c>
      <c r="J22" s="64" t="n">
        <f aca="false">J15*$C$10</f>
        <v>0</v>
      </c>
      <c r="K22" s="64" t="n">
        <f aca="false">K15*$C$10</f>
        <v>0</v>
      </c>
      <c r="L22" s="64" t="n">
        <f aca="false">L15*$C$10</f>
        <v>26.6996981132075</v>
      </c>
      <c r="M22" s="64" t="n">
        <f aca="false">M15*$C$10</f>
        <v>26.6996981132075</v>
      </c>
      <c r="N22" s="64" t="n">
        <f aca="false">N15*$C$10</f>
        <v>26.6996981132075</v>
      </c>
    </row>
    <row r="23" customFormat="false" ht="12.75" hidden="false" customHeight="false" outlineLevel="0" collapsed="false">
      <c r="H23" s="74"/>
      <c r="I23" s="74"/>
      <c r="J23" s="74"/>
    </row>
    <row r="24" customFormat="false" ht="13.5" hidden="false" customHeight="false" outlineLevel="0" collapsed="false">
      <c r="B24" s="68" t="s">
        <v>199</v>
      </c>
      <c r="C24" s="69" t="n">
        <f aca="false">C15+C22</f>
        <v>0</v>
      </c>
      <c r="D24" s="69" t="n">
        <f aca="false">D15+D22</f>
        <v>0</v>
      </c>
      <c r="E24" s="69" t="n">
        <f aca="false">E15+E22</f>
        <v>0</v>
      </c>
      <c r="F24" s="69" t="n">
        <f aca="false">F15+F22</f>
        <v>0</v>
      </c>
      <c r="G24" s="69" t="n">
        <f aca="false">G15+G22</f>
        <v>236.997283018868</v>
      </c>
      <c r="H24" s="69" t="n">
        <f aca="false">H15+H22</f>
        <v>1736.97916981132</v>
      </c>
      <c r="I24" s="69" t="n">
        <f aca="false">I15+I22</f>
        <v>0</v>
      </c>
      <c r="J24" s="69" t="n">
        <f aca="false">J15+J22</f>
        <v>0</v>
      </c>
      <c r="K24" s="69" t="n">
        <f aca="false">K15+K22</f>
        <v>0</v>
      </c>
      <c r="L24" s="69" t="n">
        <f aca="false">L15+L22</f>
        <v>160.198188679245</v>
      </c>
      <c r="M24" s="69" t="n">
        <f aca="false">M15+M22</f>
        <v>160.198188679245</v>
      </c>
      <c r="N24" s="69" t="n">
        <f aca="false">N15+N22</f>
        <v>160.198188679245</v>
      </c>
    </row>
    <row r="25" customFormat="false" ht="13.5" hidden="false" customHeight="false" outlineLevel="0" collapsed="false">
      <c r="G25" s="64"/>
      <c r="K25" s="64"/>
    </row>
    <row r="26" customFormat="false" ht="12.75" hidden="false" customHeight="false" outlineLevel="0" collapsed="false">
      <c r="G26" s="64"/>
    </row>
    <row r="27" customFormat="false" ht="12.75" hidden="false" customHeight="false" outlineLevel="0" collapsed="false">
      <c r="H27" s="64" t="n">
        <f aca="false">+G22+H22+L22+M22+N22</f>
        <v>409.095169811321</v>
      </c>
      <c r="M27" s="64" t="n">
        <f aca="false">+L24+M24+N24</f>
        <v>480.594566037736</v>
      </c>
    </row>
    <row r="28" customFormat="false" ht="12.75" hidden="false" customHeight="false" outlineLevel="0" collapsed="false">
      <c r="H28" s="64" t="n">
        <f aca="false">+M29-H27</f>
        <v>2045.90483018868</v>
      </c>
      <c r="M28" s="0" t="n">
        <v>2045</v>
      </c>
    </row>
    <row r="29" customFormat="false" ht="12.75" hidden="false" customHeight="false" outlineLevel="0" collapsed="false">
      <c r="M29" s="0" t="n">
        <v>2455</v>
      </c>
    </row>
    <row r="30" customFormat="false" ht="12.75" hidden="false" customHeight="false" outlineLevel="0" collapsed="false">
      <c r="M30" s="64" t="n">
        <f aca="false">+M29-M27</f>
        <v>1974.40543396226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2000-08-17T11:18:25Z</dcterms:created>
  <dc:creator>Kevin X Zheng</dc:creator>
  <dc:description/>
  <dc:language>en-US</dc:language>
  <cp:lastModifiedBy>renee_stlouis</cp:lastModifiedBy>
  <cp:lastPrinted>2000-11-09T13:55:43Z</cp:lastPrinted>
  <cp:revision>0</cp:revision>
  <dc:subject/>
  <dc:title>Phase I Cost Model</dc:title>
</cp:coreProperties>
</file>